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1B7AA2F6-80DE-4D66-88B2-5B8DBE62BB4D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<sst xmlns="http://schemas.openxmlformats.org/spreadsheetml/2006/main" count="238" uniqueCount="178">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</sst>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458</v>
      </c>
      <c r="D6" s="116">
        <f>SUM(D7:D12)</f>
        <v>435.09999999999997</v>
      </c>
      <c r="F6" s="118" t="s">
        <v>85</v>
      </c>
      <c r="G6" s="174">
        <v>194008</v>
      </c>
      <c r="H6" s="171">
        <v>0.9</v>
      </c>
      <c r="I6" s="157">
        <f>G6*H6</f>
        <v>174607.2</v>
      </c>
    </row>
    <row r="7" spans="2:13" ht="14.25">
      <c r="B7" s="89" t="s">
        <v>72</v>
      </c>
      <c r="C7" s="72">
        <v>206</v>
      </c>
      <c r="D7" s="72">
        <f>C7*0.95</f>
        <v>195.7</v>
      </c>
      <c r="F7" s="37" t="s">
        <v>177</v>
      </c>
      <c r="G7" s="175">
        <v>282876</v>
      </c>
      <c r="H7" s="172">
        <v>0.82</v>
      </c>
      <c r="I7" s="157">
        <f t="shared" ref="I7:I10" si="0">G7*H7</f>
        <v>231958.31999999998</v>
      </c>
      <c r="L7" s="83"/>
    </row>
    <row r="8" spans="2:13">
      <c r="B8" s="37" t="s">
        <v>57</v>
      </c>
      <c r="C8" s="72">
        <v>206</v>
      </c>
      <c r="D8" s="72">
        <f t="shared" ref="D8:D12" si="1">C8*0.95</f>
        <v>195.7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46</v>
      </c>
      <c r="D9" s="72">
        <f t="shared" si="1"/>
        <v>43.699999999999996</v>
      </c>
      <c r="F9" s="37" t="s">
        <v>88</v>
      </c>
      <c r="G9" s="175">
        <v>358</v>
      </c>
      <c r="H9" s="172">
        <v>1</v>
      </c>
      <c r="I9" s="157">
        <f t="shared" si="0"/>
        <v>358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477242</v>
      </c>
      <c r="H11" s="158"/>
      <c r="I11" s="158">
        <f>SUM(I6:I10)</f>
        <v>406923.52000000002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80</v>
      </c>
      <c r="D13" s="116">
        <f>SUM(D14:D19)</f>
        <v>75.999999999999986</v>
      </c>
      <c r="G13" s="85"/>
      <c r="H13" s="85"/>
      <c r="I13" s="86"/>
    </row>
    <row r="14" spans="2:13">
      <c r="B14" s="89" t="s">
        <v>72</v>
      </c>
      <c r="C14" s="72">
        <v>36</v>
      </c>
      <c r="D14" s="72">
        <f>C14*0.95</f>
        <v>34.199999999999996</v>
      </c>
      <c r="G14" s="85"/>
      <c r="H14" s="85"/>
      <c r="I14" s="86"/>
    </row>
    <row r="15" spans="2:13">
      <c r="B15" s="37" t="s">
        <v>57</v>
      </c>
      <c r="C15" s="72">
        <v>36</v>
      </c>
      <c r="D15" s="72">
        <f t="shared" ref="D15:D19" si="2">C15*0.95</f>
        <v>34.199999999999996</v>
      </c>
      <c r="G15" s="85"/>
      <c r="H15" s="85"/>
      <c r="I15" s="86"/>
    </row>
    <row r="16" spans="2:13">
      <c r="B16" s="37" t="s">
        <v>58</v>
      </c>
      <c r="C16" s="72">
        <v>8</v>
      </c>
      <c r="D16" s="72">
        <f t="shared" si="2"/>
        <v>7.6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538</v>
      </c>
      <c r="D20" s="117">
        <f>SUM(D7:D12,D14:D19)</f>
        <v>511.09999999999997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358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22046642.400000002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1322798.544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970.04</v>
      </c>
    </row>
    <row r="6" spans="2:7">
      <c r="B6" s="154" t="s">
        <v>128</v>
      </c>
      <c r="C6" s="163">
        <f>Project!G7/200</f>
        <v>1414.38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77.826086956521735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2462.2460869565216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229.89999999999998</v>
      </c>
      <c r="D6" s="105">
        <v>500</v>
      </c>
      <c r="E6" s="55">
        <v>440</v>
      </c>
      <c r="F6" s="55">
        <f>(D6*E6)*C6</f>
        <v>50577999.999999993</v>
      </c>
      <c r="G6" s="55">
        <f>(F6/1000)*$L$6</f>
        <v>576083.41999999993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229.89999999999998</v>
      </c>
      <c r="D7" s="105">
        <v>750</v>
      </c>
      <c r="E7" s="55">
        <v>440</v>
      </c>
      <c r="F7" s="55">
        <f>(D7*E7)*C7</f>
        <v>75866999.999999985</v>
      </c>
      <c r="G7" s="55">
        <f>(F7/1000)*$L$6</f>
        <v>864125.12999999989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51.3</v>
      </c>
      <c r="D8" s="105">
        <v>1100</v>
      </c>
      <c r="E8" s="55">
        <v>440</v>
      </c>
      <c r="F8" s="55">
        <f>IF(C8&lt;1,0,(D8*E8)*C8-100000)</f>
        <v>24729200</v>
      </c>
      <c r="G8" s="55">
        <f t="shared" ref="G8:G11" si="0">(F8/1000)*$L$6</f>
        <v>281665.58800000005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511.09999999999997</v>
      </c>
      <c r="D12" s="106"/>
      <c r="E12" s="104"/>
      <c r="F12" s="104">
        <f>SUM(F6:F11)</f>
        <v>151174199.99999997</v>
      </c>
      <c r="G12" s="104">
        <f>SUM(G6:G11)</f>
        <v>1721874.1379999998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174607.2</v>
      </c>
      <c r="D22" s="55">
        <v>300</v>
      </c>
      <c r="E22" s="55">
        <f>C22*D22</f>
        <v>52382160</v>
      </c>
      <c r="F22" s="55">
        <f>(E22/1000)*$L$7</f>
        <v>596632.80240000004</v>
      </c>
      <c r="G22" s="24"/>
      <c r="H22" s="24"/>
    </row>
    <row r="23" spans="2:11">
      <c r="B23" s="23" t="s">
        <v>86</v>
      </c>
      <c r="C23" s="105">
        <f>Project!I7</f>
        <v>231958.31999999998</v>
      </c>
      <c r="D23" s="55">
        <v>400</v>
      </c>
      <c r="E23" s="55">
        <f t="shared" ref="E23:E26" si="1">C23*D23</f>
        <v>92783327.999999985</v>
      </c>
      <c r="F23" s="55">
        <f t="shared" ref="F23:F26" si="2">(E23/1000)*$L$7</f>
        <v>1056802.1059199998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358</v>
      </c>
      <c r="D25" s="55">
        <v>215000</v>
      </c>
      <c r="E25" s="55">
        <f t="shared" si="1"/>
        <v>76970000</v>
      </c>
      <c r="F25" s="55">
        <f t="shared" si="2"/>
        <v>876688.3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406923.52000000002</v>
      </c>
      <c r="D27" s="104"/>
      <c r="E27" s="104">
        <f>SUM(E22:E26)</f>
        <v>222135488</v>
      </c>
      <c r="F27" s="104">
        <f>SUM(F22:F26)</f>
        <v>2530123.2083200002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D18" sqref="D18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458</v>
      </c>
      <c r="D6" s="99"/>
      <c r="E6" s="98">
        <f>SUM(E8:E12)</f>
        <v>43.422000000000004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206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206</v>
      </c>
      <c r="D8" s="122">
        <v>0.16300000000000001</v>
      </c>
      <c r="E8" s="60">
        <f>C8*D8</f>
        <v>33.578000000000003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46</v>
      </c>
      <c r="D9" s="122">
        <v>0.214</v>
      </c>
      <c r="E9" s="60">
        <f t="shared" ref="E9:E12" si="0">C9*D9</f>
        <v>9.8439999999999994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0.8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77</v>
      </c>
      <c r="D13" s="99"/>
      <c r="E13" s="98">
        <f>SUM(E15:E19)</f>
        <v>10.958</v>
      </c>
      <c r="F13" s="52"/>
      <c r="I13" s="84"/>
    </row>
    <row r="14" spans="2:12" ht="13.5" customHeight="1">
      <c r="B14" s="37" t="s">
        <v>71</v>
      </c>
      <c r="C14" s="179">
        <f>Project!C14</f>
        <v>36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36</v>
      </c>
      <c r="D15" s="122">
        <v>0.16300000000000001</v>
      </c>
      <c r="E15" s="60">
        <f>C15*D15</f>
        <v>5.8680000000000003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5</v>
      </c>
      <c r="D16" s="122">
        <v>1.018</v>
      </c>
      <c r="E16" s="60">
        <f t="shared" ref="E16:E19" si="1">C16*D16</f>
        <v>5.09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1.19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535</v>
      </c>
      <c r="D20" s="95"/>
      <c r="E20" s="96">
        <f>SUM(E7:E12,E14:E19)</f>
        <v>54.38000000000001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55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756604.8485479285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538</v>
      </c>
      <c r="D6" s="64">
        <f>'Residential Unit Costs'!G13</f>
        <v>979.95576544474488</v>
      </c>
      <c r="E6" s="64">
        <f>C6*D6</f>
        <v>527216.20180927275</v>
      </c>
      <c r="J6" s="76"/>
    </row>
    <row r="7" spans="2:10">
      <c r="B7" s="37" t="s">
        <v>119</v>
      </c>
      <c r="C7" s="161">
        <f>IFERROR(Economic!C10,0)</f>
        <v>2462.2460869565216</v>
      </c>
      <c r="D7" s="65">
        <f>'Commercial Unit Costs'!G13</f>
        <v>75.495515958859471</v>
      </c>
      <c r="E7" s="65">
        <f>C7*D7</f>
        <v>185888.53875246536</v>
      </c>
      <c r="J7" s="76"/>
    </row>
    <row r="8" spans="2:10">
      <c r="B8" s="38" t="s">
        <v>24</v>
      </c>
      <c r="C8" s="162">
        <f>'Schools Cost'!H20</f>
        <v>55</v>
      </c>
      <c r="D8" s="62">
        <f>'Schools Cost'!H18</f>
        <v>13756.451791780519</v>
      </c>
      <c r="E8" s="66">
        <f>C8*D8</f>
        <v>756604.8485479285</v>
      </c>
      <c r="J8" s="76"/>
    </row>
    <row r="9" spans="2:10" ht="13.5" thickBot="1">
      <c r="B9" s="68" t="s">
        <v>12</v>
      </c>
      <c r="C9" s="69"/>
      <c r="D9" s="70"/>
      <c r="E9" s="73">
        <f>E6+E7+E8</f>
        <v>1469709.5891096666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F4" sqref="F4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1721874.1379999998</v>
      </c>
    </row>
    <row r="6" spans="2:11">
      <c r="B6" s="77" t="s">
        <v>21</v>
      </c>
      <c r="C6" s="24">
        <f>Revenues!F27</f>
        <v>2530123.2083200002</v>
      </c>
    </row>
    <row r="7" spans="2:11">
      <c r="B7" s="77" t="s">
        <v>69</v>
      </c>
      <c r="C7" s="24">
        <f>'Car Tax'!C25</f>
        <v>29397.30295873091</v>
      </c>
    </row>
    <row r="8" spans="2:11" ht="13.5" thickBot="1">
      <c r="B8" s="77" t="s">
        <v>153</v>
      </c>
      <c r="C8" s="24">
        <f>'Hotel Tax'!F15</f>
        <v>1322798.544</v>
      </c>
    </row>
    <row r="9" spans="2:11" ht="13.5" thickBot="1">
      <c r="B9" s="79" t="s">
        <v>40</v>
      </c>
      <c r="C9" s="80">
        <f>C5+C6+C7+C8</f>
        <v>5604193.1932787299</v>
      </c>
      <c r="E9" s="24"/>
    </row>
    <row r="10" spans="2:11" ht="13.5" thickTop="1">
      <c r="B10" s="21" t="s">
        <v>131</v>
      </c>
      <c r="C10" s="204">
        <f>'Summary of Costs'!E6</f>
        <v>527216.20180927275</v>
      </c>
      <c r="E10" s="24"/>
      <c r="J10" s="24"/>
    </row>
    <row r="11" spans="2:11">
      <c r="B11" s="21" t="s">
        <v>132</v>
      </c>
      <c r="C11" s="204">
        <f>'Summary of Costs'!E7</f>
        <v>185888.53875246536</v>
      </c>
      <c r="E11" s="24"/>
      <c r="J11" s="24"/>
    </row>
    <row r="12" spans="2:11" ht="13.5" thickBot="1">
      <c r="B12" s="21" t="s">
        <v>13</v>
      </c>
      <c r="C12" s="205">
        <f>'Summary of Costs'!E8</f>
        <v>756604.8485479285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1469709.5891096666</v>
      </c>
      <c r="E13" s="24"/>
    </row>
    <row r="14" spans="2:11" ht="21" customHeight="1" thickTop="1" thickBot="1">
      <c r="B14" s="81" t="s">
        <v>47</v>
      </c>
      <c r="C14" s="82">
        <f>C9-C13</f>
        <v>4134483.6041690633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63779.960194799998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511.09999999999997</v>
      </c>
      <c r="F24" s="183"/>
    </row>
    <row r="25" spans="1:6" ht="13.5" thickBot="1">
      <c r="A25" s="181"/>
      <c r="B25" s="49" t="s">
        <v>173</v>
      </c>
      <c r="C25" s="248">
        <f>C24*C23*C22</f>
        <v>29397.30295873091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