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4102FF9C-21AA-48DE-BE7B-A5E6E612042B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<sst xmlns="http://schemas.openxmlformats.org/spreadsheetml/2006/main" count="238" uniqueCount="178">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</sst>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218</v>
      </c>
      <c r="D6" s="116">
        <f>SUM(D7:D12)</f>
        <v>207.1</v>
      </c>
      <c r="F6" s="118" t="s">
        <v>85</v>
      </c>
      <c r="G6" s="174">
        <v>97004</v>
      </c>
      <c r="H6" s="171">
        <v>0.9</v>
      </c>
      <c r="I6" s="157">
        <f>G6*H6</f>
        <v>87303.6</v>
      </c>
    </row>
    <row r="7" spans="2:13" ht="14.25">
      <c r="B7" s="89" t="s">
        <v>72</v>
      </c>
      <c r="C7" s="72">
        <v>103</v>
      </c>
      <c r="D7" s="72">
        <f>C7*0.95</f>
        <v>97.85</v>
      </c>
      <c r="F7" s="37" t="s">
        <v>177</v>
      </c>
      <c r="G7" s="175">
        <v>141438</v>
      </c>
      <c r="H7" s="172">
        <v>0.82</v>
      </c>
      <c r="I7" s="157">
        <f t="shared" ref="I7:I10" si="0">G7*H7</f>
        <v>115979.15999999999</v>
      </c>
      <c r="L7" s="83"/>
    </row>
    <row r="8" spans="2:13">
      <c r="B8" s="37" t="s">
        <v>57</v>
      </c>
      <c r="C8" s="72">
        <v>103</v>
      </c>
      <c r="D8" s="72">
        <f t="shared" ref="D8:D12" si="1">C8*0.95</f>
        <v>97.85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12</v>
      </c>
      <c r="D9" s="72">
        <f t="shared" si="1"/>
        <v>11.399999999999999</v>
      </c>
      <c r="F9" s="37" t="s">
        <v>88</v>
      </c>
      <c r="G9" s="175">
        <v>179</v>
      </c>
      <c r="H9" s="172">
        <v>1</v>
      </c>
      <c r="I9" s="157">
        <f t="shared" si="0"/>
        <v>179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238621</v>
      </c>
      <c r="H11" s="158"/>
      <c r="I11" s="158">
        <f>SUM(I6:I10)</f>
        <v>203461.76000000001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40</v>
      </c>
      <c r="D13" s="116">
        <f>SUM(D14:D19)</f>
        <v>37.999999999999993</v>
      </c>
      <c r="G13" s="85"/>
      <c r="H13" s="85"/>
      <c r="I13" s="86"/>
    </row>
    <row r="14" spans="2:13">
      <c r="B14" s="89" t="s">
        <v>72</v>
      </c>
      <c r="C14" s="72">
        <v>18</v>
      </c>
      <c r="D14" s="72">
        <f>C14*0.95</f>
        <v>17.099999999999998</v>
      </c>
      <c r="G14" s="85"/>
      <c r="H14" s="85"/>
      <c r="I14" s="86"/>
    </row>
    <row r="15" spans="2:13">
      <c r="B15" s="37" t="s">
        <v>57</v>
      </c>
      <c r="C15" s="72">
        <v>18</v>
      </c>
      <c r="D15" s="72">
        <f t="shared" ref="D15:D19" si="2">C15*0.95</f>
        <v>17.099999999999998</v>
      </c>
      <c r="G15" s="85"/>
      <c r="H15" s="85"/>
      <c r="I15" s="86"/>
    </row>
    <row r="16" spans="2:13">
      <c r="B16" s="37" t="s">
        <v>58</v>
      </c>
      <c r="C16" s="72">
        <v>4</v>
      </c>
      <c r="D16" s="72">
        <f t="shared" si="2"/>
        <v>3.8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258</v>
      </c>
      <c r="D20" s="117">
        <f>SUM(D7:D12,D14:D19)</f>
        <v>245.1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179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11023321.200000001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661399.272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485.02</v>
      </c>
    </row>
    <row r="6" spans="2:7">
      <c r="B6" s="154" t="s">
        <v>128</v>
      </c>
      <c r="C6" s="163">
        <f>Project!G7/200</f>
        <v>707.19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38.913043478260867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1231.1230434782608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114.94999999999999</v>
      </c>
      <c r="D6" s="105">
        <v>500</v>
      </c>
      <c r="E6" s="55">
        <v>440</v>
      </c>
      <c r="F6" s="55">
        <f>(D6*E6)*C6</f>
        <v>25288999.999999996</v>
      </c>
      <c r="G6" s="55">
        <f>(F6/1000)*$L$6</f>
        <v>288041.70999999996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114.94999999999999</v>
      </c>
      <c r="D7" s="105">
        <v>750</v>
      </c>
      <c r="E7" s="55">
        <v>440</v>
      </c>
      <c r="F7" s="55">
        <f>(D7*E7)*C7</f>
        <v>37933499.999999993</v>
      </c>
      <c r="G7" s="55">
        <f>(F7/1000)*$L$6</f>
        <v>432062.56499999994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15.2</v>
      </c>
      <c r="D8" s="105">
        <v>1100</v>
      </c>
      <c r="E8" s="55">
        <v>440</v>
      </c>
      <c r="F8" s="55">
        <f>IF(C8&lt;1,0,(D8*E8)*C8-100000)</f>
        <v>7256800</v>
      </c>
      <c r="G8" s="55">
        <f t="shared" ref="G8:G11" si="0">(F8/1000)*$L$6</f>
        <v>82654.952000000005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245.09999999999997</v>
      </c>
      <c r="D12" s="106"/>
      <c r="E12" s="104"/>
      <c r="F12" s="104">
        <f>SUM(F6:F11)</f>
        <v>70479299.999999985</v>
      </c>
      <c r="G12" s="104">
        <f>SUM(G6:G11)</f>
        <v>802759.22699999996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87303.6</v>
      </c>
      <c r="D22" s="55">
        <v>300</v>
      </c>
      <c r="E22" s="55">
        <f>C22*D22</f>
        <v>26191080</v>
      </c>
      <c r="F22" s="55">
        <f>(E22/1000)*$L$7</f>
        <v>298316.40120000002</v>
      </c>
      <c r="G22" s="24"/>
      <c r="H22" s="24"/>
    </row>
    <row r="23" spans="2:11">
      <c r="B23" s="23" t="s">
        <v>86</v>
      </c>
      <c r="C23" s="105">
        <f>Project!I7</f>
        <v>115979.15999999999</v>
      </c>
      <c r="D23" s="55">
        <v>400</v>
      </c>
      <c r="E23" s="55">
        <f t="shared" ref="E23:E26" si="1">C23*D23</f>
        <v>46391663.999999993</v>
      </c>
      <c r="F23" s="55">
        <f t="shared" ref="F23:F26" si="2">(E23/1000)*$L$7</f>
        <v>528401.05295999988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179</v>
      </c>
      <c r="D25" s="55">
        <v>215000</v>
      </c>
      <c r="E25" s="55">
        <f t="shared" si="1"/>
        <v>38485000</v>
      </c>
      <c r="F25" s="55">
        <f t="shared" si="2"/>
        <v>438344.15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203461.76000000001</v>
      </c>
      <c r="D27" s="104"/>
      <c r="E27" s="104">
        <f>SUM(E22:E26)</f>
        <v>111067744</v>
      </c>
      <c r="F27" s="104">
        <f>SUM(F22:F26)</f>
        <v>1265061.6041600001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C17" sqref="C17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218</v>
      </c>
      <c r="D6" s="99"/>
      <c r="E6" s="98">
        <f>SUM(E8:E12)</f>
        <v>34.5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103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103</v>
      </c>
      <c r="D8" s="122">
        <v>0.3</v>
      </c>
      <c r="E8" s="60">
        <f>C8*D8</f>
        <v>30.9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12</v>
      </c>
      <c r="D9" s="122">
        <v>0.3</v>
      </c>
      <c r="E9" s="60">
        <f t="shared" ref="E9:E12" si="0">C9*D9</f>
        <v>3.5999999999999996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0.3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40</v>
      </c>
      <c r="D13" s="99"/>
      <c r="E13" s="98">
        <f>SUM(E15:E19)</f>
        <v>6.6</v>
      </c>
      <c r="F13" s="52"/>
      <c r="I13" s="84"/>
    </row>
    <row r="14" spans="2:12" ht="13.5" customHeight="1">
      <c r="B14" s="37" t="s">
        <v>71</v>
      </c>
      <c r="C14" s="179">
        <f>Project!C14</f>
        <v>18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18</v>
      </c>
      <c r="D15" s="122">
        <v>0.3</v>
      </c>
      <c r="E15" s="60">
        <f>C15*D15</f>
        <v>5.3999999999999995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4</v>
      </c>
      <c r="D16" s="122">
        <v>0.3</v>
      </c>
      <c r="E16" s="60">
        <f t="shared" ref="E16:E19" si="1">C16*D16</f>
        <v>1.2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0.3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258</v>
      </c>
      <c r="D20" s="95"/>
      <c r="E20" s="96">
        <f>SUM(E7:E12,E14:E19)</f>
        <v>41.1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42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577770.97525478178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258</v>
      </c>
      <c r="D6" s="64">
        <f>'Residential Unit Costs'!G13</f>
        <v>979.95576544474488</v>
      </c>
      <c r="E6" s="64">
        <f>C6*D6</f>
        <v>252828.58748474417</v>
      </c>
      <c r="J6" s="76"/>
    </row>
    <row r="7" spans="2:10">
      <c r="B7" s="37" t="s">
        <v>119</v>
      </c>
      <c r="C7" s="161">
        <f>IFERROR(Economic!C10,0)</f>
        <v>1231.1230434782608</v>
      </c>
      <c r="D7" s="65">
        <f>'Commercial Unit Costs'!G13</f>
        <v>75.495515958859471</v>
      </c>
      <c r="E7" s="65">
        <f>C7*D7</f>
        <v>92944.269376232682</v>
      </c>
      <c r="J7" s="76"/>
    </row>
    <row r="8" spans="2:10">
      <c r="B8" s="38" t="s">
        <v>24</v>
      </c>
      <c r="C8" s="162">
        <f>'Schools Cost'!H20</f>
        <v>42</v>
      </c>
      <c r="D8" s="62">
        <f>'Schools Cost'!H18</f>
        <v>13756.451791780519</v>
      </c>
      <c r="E8" s="66">
        <f>C8*D8</f>
        <v>577770.97525478178</v>
      </c>
      <c r="J8" s="76"/>
    </row>
    <row r="9" spans="2:10" ht="13.5" thickBot="1">
      <c r="B9" s="68" t="s">
        <v>12</v>
      </c>
      <c r="C9" s="69"/>
      <c r="D9" s="70"/>
      <c r="E9" s="73">
        <f>E6+E7+E8</f>
        <v>923543.83211575868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L18" sqref="L18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802759.22699999996</v>
      </c>
    </row>
    <row r="6" spans="2:11">
      <c r="B6" s="77" t="s">
        <v>21</v>
      </c>
      <c r="C6" s="24">
        <f>Revenues!F27</f>
        <v>1265061.6041600001</v>
      </c>
    </row>
    <row r="7" spans="2:11">
      <c r="B7" s="77" t="s">
        <v>69</v>
      </c>
      <c r="C7" s="24">
        <f>'Car Tax'!C25</f>
        <v>14097.591381696238</v>
      </c>
    </row>
    <row r="8" spans="2:11" ht="13.5" thickBot="1">
      <c r="B8" s="77" t="s">
        <v>153</v>
      </c>
      <c r="C8" s="24">
        <f>'Hotel Tax'!F15</f>
        <v>661399.272</v>
      </c>
    </row>
    <row r="9" spans="2:11" ht="13.5" thickBot="1">
      <c r="B9" s="79" t="s">
        <v>40</v>
      </c>
      <c r="C9" s="80">
        <f>C5+C6+C7+C8</f>
        <v>2743317.6945416965</v>
      </c>
      <c r="E9" s="24"/>
    </row>
    <row r="10" spans="2:11" ht="13.5" thickTop="1">
      <c r="B10" s="21" t="s">
        <v>131</v>
      </c>
      <c r="C10" s="204">
        <f>'Summary of Costs'!E6</f>
        <v>252828.58748474417</v>
      </c>
      <c r="E10" s="24"/>
      <c r="J10" s="24"/>
    </row>
    <row r="11" spans="2:11">
      <c r="B11" s="21" t="s">
        <v>132</v>
      </c>
      <c r="C11" s="204">
        <f>'Summary of Costs'!E7</f>
        <v>92944.269376232682</v>
      </c>
      <c r="E11" s="24"/>
      <c r="J11" s="24"/>
    </row>
    <row r="12" spans="2:11" ht="13.5" thickBot="1">
      <c r="B12" s="21" t="s">
        <v>13</v>
      </c>
      <c r="C12" s="205">
        <f>'Summary of Costs'!E8</f>
        <v>577770.97525478178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923543.83211575868</v>
      </c>
      <c r="E13" s="24"/>
    </row>
    <row r="14" spans="2:11" ht="21" customHeight="1" thickTop="1" thickBot="1">
      <c r="B14" s="81" t="s">
        <v>47</v>
      </c>
      <c r="C14" s="82">
        <f>C9-C13</f>
        <v>1819773.8624259378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31017.312467399999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245.1</v>
      </c>
      <c r="F24" s="183"/>
    </row>
    <row r="25" spans="1:6" ht="13.5" thickBot="1">
      <c r="A25" s="181"/>
      <c r="B25" s="49" t="s">
        <v>173</v>
      </c>
      <c r="C25" s="248">
        <f>C24*C23*C22</f>
        <v>14097.591381696238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