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J:\CHRISTOPHER RYAN\CENTER &amp; BRIGHTON PROJECTS\Belmont Ctr-Leonard St Project\Buildout and FIA\FISCAL IMPACT ANALYSIS\Modeled Scenarios\"/>
    </mc:Choice>
  </mc:AlternateContent>
  <xr:revisionPtr revIDLastSave="0" documentId="8_{BACCD762-E1CE-4791-87D6-07C93DEE0B3C}" xr6:coauthVersionLast="47" xr6:coauthVersionMax="47" xr10:uidLastSave="{00000000-0000-0000-0000-000000000000}"/>
  <workbookProtection workbookAlgorithmName="SHA-512" workbookHashValue="xgAlOuMzWs/9vlI/E9DoL09GQZW1zkKU5+izeR69sZ+MAYkToplo9FkR03JV5EfFyjfmKWKP1O3h6a/IQuDNUQ==" workbookSaltValue="GUaDr9URtDDfDIEDAph/Iw==" workbookSpinCount="100000" lockStructure="1"/>
  <bookViews>
    <workbookView xWindow="1200" yWindow="165" windowWidth="36705" windowHeight="20340" tabRatio="867" activeTab="7" xr2:uid="{00000000-000D-0000-FFFF-FFFF00000000}"/>
  </bookViews>
  <sheets>
    <sheet name="Project" sheetId="13" r:id="rId1"/>
    <sheet name="Residential Unit Costs" sheetId="1" r:id="rId2"/>
    <sheet name="Commercial Unit Costs" sheetId="11" r:id="rId3"/>
    <sheet name="Revenues" sheetId="3" r:id="rId4"/>
    <sheet name="Schools" sheetId="2" r:id="rId5"/>
    <sheet name="Schools Cost" sheetId="15" r:id="rId6"/>
    <sheet name="Summary of Costs" sheetId="14" r:id="rId7"/>
    <sheet name="Fiscal Impact Summary" sheetId="10" r:id="rId8"/>
    <sheet name="Car Tax" sheetId="5" r:id="rId9"/>
    <sheet name="Hotel Tax" sheetId="16" r:id="rId10"/>
    <sheet name="Economic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13" l="1"/>
  <c r="C22" i="5"/>
  <c r="H7" i="15" l="1"/>
  <c r="H8" i="15"/>
  <c r="H9" i="15"/>
  <c r="H10" i="15"/>
  <c r="H11" i="15"/>
  <c r="H12" i="15"/>
  <c r="H13" i="15"/>
  <c r="H14" i="15"/>
  <c r="H15" i="15"/>
  <c r="H16" i="15"/>
  <c r="H17" i="15"/>
  <c r="H6" i="15"/>
  <c r="G18" i="15"/>
  <c r="G7" i="15"/>
  <c r="G8" i="15"/>
  <c r="G9" i="15"/>
  <c r="G10" i="15"/>
  <c r="G11" i="15"/>
  <c r="G12" i="15"/>
  <c r="G13" i="15"/>
  <c r="G14" i="15"/>
  <c r="G15" i="15"/>
  <c r="G16" i="15"/>
  <c r="G17" i="15"/>
  <c r="G6" i="15"/>
  <c r="F18" i="15"/>
  <c r="D18" i="15"/>
  <c r="E7" i="15"/>
  <c r="E8" i="15"/>
  <c r="E9" i="15"/>
  <c r="E10" i="15"/>
  <c r="E11" i="15"/>
  <c r="E12" i="15"/>
  <c r="E13" i="15"/>
  <c r="E14" i="15"/>
  <c r="E15" i="15"/>
  <c r="E16" i="15"/>
  <c r="E17" i="15"/>
  <c r="E6" i="15"/>
  <c r="F7" i="1"/>
  <c r="F8" i="1"/>
  <c r="F9" i="1"/>
  <c r="F10" i="1"/>
  <c r="F6" i="1"/>
  <c r="C24" i="1"/>
  <c r="E7" i="1"/>
  <c r="E8" i="1"/>
  <c r="E9" i="1"/>
  <c r="E10" i="1"/>
  <c r="E6" i="1"/>
  <c r="F9" i="3"/>
  <c r="I7" i="13" l="1"/>
  <c r="C23" i="3" s="1"/>
  <c r="I8" i="13"/>
  <c r="C24" i="3" s="1"/>
  <c r="I9" i="13"/>
  <c r="I10" i="13"/>
  <c r="C26" i="3" s="1"/>
  <c r="I6" i="13"/>
  <c r="C22" i="3" s="1"/>
  <c r="D15" i="13"/>
  <c r="D16" i="13"/>
  <c r="D17" i="13"/>
  <c r="D18" i="13"/>
  <c r="D19" i="13"/>
  <c r="D14" i="13"/>
  <c r="D8" i="13"/>
  <c r="D9" i="13"/>
  <c r="D10" i="13"/>
  <c r="D11" i="13"/>
  <c r="C10" i="3" s="1"/>
  <c r="F10" i="3" s="1"/>
  <c r="D12" i="13"/>
  <c r="C11" i="3" s="1"/>
  <c r="F11" i="3" s="1"/>
  <c r="D7" i="13"/>
  <c r="C6" i="3" l="1"/>
  <c r="F6" i="3" s="1"/>
  <c r="D20" i="13"/>
  <c r="C24" i="5" s="1"/>
  <c r="C8" i="3"/>
  <c r="F8" i="3" s="1"/>
  <c r="C25" i="3"/>
  <c r="F9" i="16"/>
  <c r="F13" i="16" s="1"/>
  <c r="F15" i="16" s="1"/>
  <c r="C8" i="10" s="1"/>
  <c r="C7" i="3"/>
  <c r="F7" i="3" s="1"/>
  <c r="C9" i="3"/>
  <c r="I11" i="13"/>
  <c r="D13" i="13"/>
  <c r="D6" i="13"/>
  <c r="C25" i="5" l="1"/>
  <c r="C7" i="10" s="1"/>
  <c r="F12" i="3"/>
  <c r="C13" i="13"/>
  <c r="C8" i="12"/>
  <c r="C7" i="12" l="1"/>
  <c r="C6" i="12" l="1"/>
  <c r="C5" i="12"/>
  <c r="C9" i="12"/>
  <c r="C10" i="12" l="1"/>
  <c r="D7" i="11"/>
  <c r="D9" i="11"/>
  <c r="D10" i="11"/>
  <c r="D6" i="11"/>
  <c r="F6" i="11" s="1"/>
  <c r="C7" i="11"/>
  <c r="C8" i="11"/>
  <c r="C9" i="11"/>
  <c r="C10" i="11"/>
  <c r="C6" i="11"/>
  <c r="C18" i="15"/>
  <c r="E10" i="11"/>
  <c r="E7" i="11"/>
  <c r="E9" i="11"/>
  <c r="E6" i="11"/>
  <c r="C11" i="1"/>
  <c r="F10" i="11" l="1"/>
  <c r="G10" i="11" s="1"/>
  <c r="F9" i="11"/>
  <c r="G9" i="11" s="1"/>
  <c r="F7" i="11"/>
  <c r="G7" i="11" s="1"/>
  <c r="G6" i="11"/>
  <c r="E26" i="3" l="1"/>
  <c r="F26" i="3" s="1"/>
  <c r="E25" i="3"/>
  <c r="F25" i="3" s="1"/>
  <c r="E24" i="3"/>
  <c r="F24" i="3" s="1"/>
  <c r="E23" i="3"/>
  <c r="F23" i="3" s="1"/>
  <c r="E22" i="3"/>
  <c r="F22" i="3" s="1"/>
  <c r="K11" i="2"/>
  <c r="L11" i="2" s="1"/>
  <c r="J11" i="2"/>
  <c r="G7" i="1"/>
  <c r="G9" i="1"/>
  <c r="G10" i="1"/>
  <c r="G11" i="13"/>
  <c r="G6" i="1" l="1"/>
  <c r="E27" i="3"/>
  <c r="C27" i="3"/>
  <c r="F27" i="3" l="1"/>
  <c r="C6" i="10" s="1"/>
  <c r="C20" i="13" l="1"/>
  <c r="G6" i="3" l="1"/>
  <c r="C19" i="2" l="1"/>
  <c r="C15" i="2"/>
  <c r="C17" i="2"/>
  <c r="C18" i="2"/>
  <c r="C14" i="2"/>
  <c r="C12" i="2"/>
  <c r="C8" i="2"/>
  <c r="C9" i="2"/>
  <c r="C10" i="2"/>
  <c r="C11" i="2"/>
  <c r="C7" i="2"/>
  <c r="C20" i="2" l="1" a="1"/>
  <c r="C20" i="2" s="1"/>
  <c r="E14" i="2"/>
  <c r="C13" i="2"/>
  <c r="E7" i="2"/>
  <c r="C6" i="2"/>
  <c r="G8" i="3" l="1"/>
  <c r="G9" i="3"/>
  <c r="G10" i="3"/>
  <c r="G11" i="3"/>
  <c r="C12" i="3" l="1"/>
  <c r="G7" i="3"/>
  <c r="G12" i="3" s="1"/>
  <c r="H18" i="15"/>
  <c r="C16" i="10" l="1"/>
  <c r="C5" i="10"/>
  <c r="C9" i="10" s="1"/>
  <c r="D8" i="14"/>
  <c r="E16" i="2"/>
  <c r="E17" i="2"/>
  <c r="E18" i="2"/>
  <c r="E19" i="2"/>
  <c r="E9" i="2" l="1"/>
  <c r="E10" i="2"/>
  <c r="E11" i="2"/>
  <c r="E12" i="2"/>
  <c r="C26" i="1"/>
  <c r="D24" i="1" l="1"/>
  <c r="D25" i="1"/>
  <c r="D23" i="1"/>
  <c r="E15" i="2"/>
  <c r="E8" i="2"/>
  <c r="D26" i="1" l="1"/>
  <c r="E6" i="2"/>
  <c r="E20" i="2"/>
  <c r="E13" i="2"/>
  <c r="H20" i="15" l="1"/>
  <c r="C8" i="14" s="1"/>
  <c r="C11" i="11" l="1"/>
  <c r="E18" i="15" l="1"/>
  <c r="H21" i="15" l="1"/>
  <c r="C7" i="14" l="1"/>
  <c r="C6" i="14" l="1"/>
  <c r="E8" i="14" l="1"/>
  <c r="C12" i="10" l="1"/>
  <c r="D8" i="11"/>
  <c r="D11" i="1"/>
  <c r="E11" i="1" s="1"/>
  <c r="E8" i="11"/>
  <c r="D11" i="11" l="1"/>
  <c r="E11" i="11" s="1"/>
  <c r="F8" i="11"/>
  <c r="G8" i="1"/>
  <c r="F11" i="1"/>
  <c r="G11" i="1" l="1"/>
  <c r="G8" i="11"/>
  <c r="F11" i="11"/>
  <c r="G11" i="11" s="1"/>
  <c r="G13" i="11" s="1"/>
  <c r="D7" i="14" s="1"/>
  <c r="E7" i="14" s="1"/>
  <c r="C11" i="10" s="1"/>
  <c r="G13" i="1" l="1"/>
  <c r="D6" i="14" s="1"/>
  <c r="E6" i="14" s="1"/>
  <c r="C10" i="10" l="1"/>
  <c r="C13" i="10" s="1"/>
  <c r="C14" i="10" s="1"/>
  <c r="E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tc={EF375BD7-D2C6-495C-A606-25464CC0EB92}</author>
  </authors>
  <commentList>
    <comment ref="C8" authorId="0" shapeId="0" xr:uid="{EF375BD7-D2C6-495C-A606-25464CC0EB92}">
      <text>
        <r>
          <rPr>
            <sz val="10"/>
            <rFont val="Arial"/>
            <family val="2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Calculated by taking hotel rooms X 500 SF per key for gross SQFT of hotel. Then divide Gross SF of hotel by 2,300 SF per employee.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<sst xmlns="http://schemas.openxmlformats.org/spreadsheetml/2006/main" count="238" uniqueCount="178">
  <si>
    <t>Expense Category</t>
  </si>
  <si>
    <t>Total</t>
  </si>
  <si>
    <t>Proportion</t>
  </si>
  <si>
    <t>Residential</t>
  </si>
  <si>
    <t>Commercial</t>
  </si>
  <si>
    <t>Units</t>
  </si>
  <si>
    <t>Unit Type</t>
  </si>
  <si>
    <t>MARKET</t>
  </si>
  <si>
    <t>One Bedroom</t>
  </si>
  <si>
    <t>Two Bedroom</t>
  </si>
  <si>
    <t>Est. Pupils Generated</t>
  </si>
  <si>
    <t>AFFORDABLE</t>
  </si>
  <si>
    <t>TOTAL</t>
  </si>
  <si>
    <t>Project Costs of Public Schools</t>
  </si>
  <si>
    <t>Calculation of Unit Costs for Residential Land Uses</t>
  </si>
  <si>
    <t>Use Type</t>
  </si>
  <si>
    <t>Personal</t>
  </si>
  <si>
    <t>Table 4</t>
  </si>
  <si>
    <t>Table 5</t>
  </si>
  <si>
    <t>Table 6</t>
  </si>
  <si>
    <t>Table 7</t>
  </si>
  <si>
    <t>Project Est. Commercial Real &amp; Personal Property Taxes</t>
  </si>
  <si>
    <t>Project Estimated Residential Real Property Taxes</t>
  </si>
  <si>
    <t>Number</t>
  </si>
  <si>
    <t xml:space="preserve">Public School Pupils </t>
  </si>
  <si>
    <t>Cost</t>
  </si>
  <si>
    <t>Municipal Expenditure</t>
  </si>
  <si>
    <t>Cost Category</t>
  </si>
  <si>
    <t>Table 8</t>
  </si>
  <si>
    <t>Table 9</t>
  </si>
  <si>
    <t>Source: Urban Land Institute; Bureau of Labor Statistics 2015</t>
  </si>
  <si>
    <t>Table 10</t>
  </si>
  <si>
    <t>General Government</t>
  </si>
  <si>
    <t>Totals</t>
  </si>
  <si>
    <t>Employment from Commercial Operations</t>
  </si>
  <si>
    <t>Ratio</t>
  </si>
  <si>
    <t>Market Rate Units</t>
  </si>
  <si>
    <t>Affordable Units</t>
  </si>
  <si>
    <t>Total Units</t>
  </si>
  <si>
    <t>Costs</t>
  </si>
  <si>
    <t>NET NEW ANNUAL MUNICIPAL REVENUES</t>
  </si>
  <si>
    <t>NET NEW ANNUAL MUNICIPAL COSTS</t>
  </si>
  <si>
    <t>Calculation of Pupil Generation</t>
  </si>
  <si>
    <t>Calculation of Unit Costs for Commercial Land Uses</t>
  </si>
  <si>
    <t>Calculation of Costs of Public Schools</t>
  </si>
  <si>
    <t>Project Pupils Generated</t>
  </si>
  <si>
    <t>Annual Public Schools Cost</t>
  </si>
  <si>
    <r>
      <t>NET NEW ANNUAL MUNICIPAL SURPLUS/</t>
    </r>
    <r>
      <rPr>
        <b/>
        <sz val="10"/>
        <color rgb="FFFF0000"/>
        <rFont val="Tw Cen MT"/>
        <family val="2"/>
      </rPr>
      <t>(DEFICIT)</t>
    </r>
  </si>
  <si>
    <t>For-Sale Condominium</t>
  </si>
  <si>
    <t>Public Safety - Fire</t>
  </si>
  <si>
    <t>Public Safety - Police</t>
  </si>
  <si>
    <t>Public Works</t>
  </si>
  <si>
    <t>Other</t>
  </si>
  <si>
    <t>Townhome</t>
  </si>
  <si>
    <t>Three Bedroom</t>
  </si>
  <si>
    <t>Condo</t>
  </si>
  <si>
    <t>Address</t>
  </si>
  <si>
    <t xml:space="preserve">   1 Bedroom Apt</t>
  </si>
  <si>
    <t xml:space="preserve">   2 Bedroom Apt</t>
  </si>
  <si>
    <t>3 Bedroom Apt</t>
  </si>
  <si>
    <t>Transportation</t>
  </si>
  <si>
    <t>Assessment Factors for Future Development</t>
  </si>
  <si>
    <t>Gross SQFT per Unit</t>
  </si>
  <si>
    <t>Total Value</t>
  </si>
  <si>
    <t>Total Gross Taxes</t>
  </si>
  <si>
    <t>One Bed Apartments</t>
  </si>
  <si>
    <t>Two Bed Apartments</t>
  </si>
  <si>
    <t>Three Bed Apartments</t>
  </si>
  <si>
    <t>For-Sale Townhome</t>
  </si>
  <si>
    <t>Estimated Motor Vehicle Taxes</t>
  </si>
  <si>
    <t>Estimated CPA Taxes</t>
  </si>
  <si>
    <t>Studios</t>
  </si>
  <si>
    <t>Studio Apt</t>
  </si>
  <si>
    <t>Studio Apartments</t>
  </si>
  <si>
    <t>Incremental Share of Budget</t>
  </si>
  <si>
    <t>Per SQFT Value</t>
  </si>
  <si>
    <t>Belmont, MA</t>
  </si>
  <si>
    <t>Source: RKG Associates, 2024</t>
  </si>
  <si>
    <t>Total Employees (2023 Estimate)</t>
  </si>
  <si>
    <t>Source: CoStar, Belmont Assessor Database, RKG Associates 2024</t>
  </si>
  <si>
    <t>Source: RKG Associates 2024</t>
  </si>
  <si>
    <t>Estimated Annual Municipal Expenditures (2024 Dollars)</t>
  </si>
  <si>
    <t>Net Fiscal Impact Summary (2024 Dollars)</t>
  </si>
  <si>
    <t>Proposed Residential Development Program</t>
  </si>
  <si>
    <t>Proposed Non-Residential Development Program</t>
  </si>
  <si>
    <t>Office</t>
  </si>
  <si>
    <t>Retail</t>
  </si>
  <si>
    <t>Lab/Life Science</t>
  </si>
  <si>
    <t>Hotel</t>
  </si>
  <si>
    <t>Industrial</t>
  </si>
  <si>
    <t>Table 1A</t>
  </si>
  <si>
    <t>Table 1B</t>
  </si>
  <si>
    <t>Proportional Share - Belmont</t>
  </si>
  <si>
    <t>Administrator</t>
  </si>
  <si>
    <t>Contract Services</t>
  </si>
  <si>
    <t>Other Expenses</t>
  </si>
  <si>
    <t>Other Salaries</t>
  </si>
  <si>
    <t>Professional</t>
  </si>
  <si>
    <t>Secretarial/Clerical</t>
  </si>
  <si>
    <t>Sped Expenses</t>
  </si>
  <si>
    <t>Stipends</t>
  </si>
  <si>
    <t>Supplies</t>
  </si>
  <si>
    <t>Tuition</t>
  </si>
  <si>
    <t>Tutoring</t>
  </si>
  <si>
    <t>Source: Belmont School District, RKG Associates.</t>
  </si>
  <si>
    <t>Variable Per Pupil Cost</t>
  </si>
  <si>
    <t>Belmont SAC Planning Estimates - 2024</t>
  </si>
  <si>
    <t>375 Acorn Park Drive</t>
  </si>
  <si>
    <t>63 Moraine Street</t>
  </si>
  <si>
    <t>300 Trapelo</t>
  </si>
  <si>
    <t>43 Burnham Street</t>
  </si>
  <si>
    <t>Total Students</t>
  </si>
  <si>
    <t>SAC Ratio</t>
  </si>
  <si>
    <t>Table 2A</t>
  </si>
  <si>
    <t>Table 2B</t>
  </si>
  <si>
    <t>Non-Residential</t>
  </si>
  <si>
    <t>Per HH Incremental Cost</t>
  </si>
  <si>
    <t>Incremental Costs Per HH</t>
  </si>
  <si>
    <t>Incremental % of the Budget</t>
  </si>
  <si>
    <t>Non-Residential Employees</t>
  </si>
  <si>
    <t>Residential Units</t>
  </si>
  <si>
    <t>Per Employee Incremental Cost</t>
  </si>
  <si>
    <t>Incremental Costs Per Employee</t>
  </si>
  <si>
    <t>Office Employees</t>
  </si>
  <si>
    <t>Lab/Life Science Employees</t>
  </si>
  <si>
    <t>Hotel Employees</t>
  </si>
  <si>
    <t>Industrial Employees</t>
  </si>
  <si>
    <t>FTE Employee Estimate</t>
  </si>
  <si>
    <t>Retail Employees</t>
  </si>
  <si>
    <t>Per SQFT/
Room Value</t>
  </si>
  <si>
    <t>Gross SQFT/Rooms</t>
  </si>
  <si>
    <t>Residential Costs of Municipal Services</t>
  </si>
  <si>
    <t>Commercial Costs of Municipal Services</t>
  </si>
  <si>
    <t>120 Trapelo (Winslow)</t>
  </si>
  <si>
    <t>525 Common Street (Hyland)</t>
  </si>
  <si>
    <t>485 Common Street (Pomona)</t>
  </si>
  <si>
    <t>100% Occupancy (Units)</t>
  </si>
  <si>
    <t>95% Occupancy (Units)</t>
  </si>
  <si>
    <t>100% OccupancySquare Feet/Hotel Rooms</t>
  </si>
  <si>
    <t>Square Feet/Hotel Rooms After Vacancy Factor</t>
  </si>
  <si>
    <t>Occupancy Rate Minus Vacancy</t>
  </si>
  <si>
    <t>FY25 General Fund Total School Budget</t>
  </si>
  <si>
    <t>FY25 General Fund Variable Costs</t>
  </si>
  <si>
    <t>Calculation of Auto Excise Tax (2024 Dollars)</t>
  </si>
  <si>
    <t>Calculation of the Impact of a Local Room Tax</t>
  </si>
  <si>
    <t>A. Number of Potential Hotel Rooms</t>
  </si>
  <si>
    <t>B. Average Room Occupancy</t>
  </si>
  <si>
    <t>C. Average Daily Room Rate</t>
  </si>
  <si>
    <t>D. Days per Year</t>
  </si>
  <si>
    <t>Source: CoStar, RKG Associates</t>
  </si>
  <si>
    <t>E. Total Hotel Room Night Revenues (A*B*C*D)</t>
  </si>
  <si>
    <t>Projected Local Rooms Tax to Belmont (E*F)</t>
  </si>
  <si>
    <t>F. Maximum Local Rooms Tax Rate</t>
  </si>
  <si>
    <t>Estimated Local Option Room Tax</t>
  </si>
  <si>
    <t>Source: MA EOLWD ES-202, 2023 Annual Employment Count</t>
  </si>
  <si>
    <t>FY2025 Budget</t>
  </si>
  <si>
    <t>Other - incl. Benefits</t>
  </si>
  <si>
    <t>Total Housing Units (2020 Census)</t>
  </si>
  <si>
    <t>Source: Town of Belmont, RKG Associates 2024, updated July 2025</t>
  </si>
  <si>
    <t>FY2025 Valuation</t>
  </si>
  <si>
    <t>Property Class</t>
  </si>
  <si>
    <t>Residential Proportional Share @ 94.6%</t>
  </si>
  <si>
    <t>Non-Residential Proportional Share @ 5.4%</t>
  </si>
  <si>
    <t>Belmont FY2025 Tax Rates</t>
  </si>
  <si>
    <t>% Variable</t>
  </si>
  <si>
    <t>Benefits</t>
  </si>
  <si>
    <t>Total Variable Costs</t>
  </si>
  <si>
    <t>Source: FY25 Belmont Public School Budget Data; RKG Associates.  Updated July 2025</t>
  </si>
  <si>
    <t>A. Total Number of MVE Bills</t>
  </si>
  <si>
    <t>B. Total MVE Amount Billed</t>
  </si>
  <si>
    <t>C. Average Amount per Bill (B/A)</t>
  </si>
  <si>
    <t>D. New Vehicles per Zoning per Unit</t>
  </si>
  <si>
    <t>E. Scenario Occupied Unit Count</t>
  </si>
  <si>
    <t>Project Est. Annual Motor Vehicle Taxes (C*D*E)</t>
  </si>
  <si>
    <t>Source: Town of Belmont; 2024 MVE Billing data</t>
  </si>
  <si>
    <t>*This does not include the $67M of school costs in the FY25 as those are calculated separately in this analysis.</t>
  </si>
  <si>
    <t>Total Foundation Enrollment as of October 1, 2024</t>
  </si>
  <si>
    <t>Retail/Services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</si>
</sst>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&quot;$&quot;#,##0.00"/>
    <numFmt numFmtId="166" formatCode="_([$€-2]* #,##0.00_);_([$€-2]* \(#,##0.00\);_([$€-2]* &quot;-&quot;??_)"/>
    <numFmt numFmtId="167" formatCode="&quot;Year &quot;0"/>
    <numFmt numFmtId="168" formatCode="0.0%"/>
    <numFmt numFmtId="169" formatCode="0.000"/>
    <numFmt numFmtId="170" formatCode="_(* #,##0_);_(* \(#,##0\);_(* &quot;-&quot;??_);_(@_)"/>
    <numFmt numFmtId="171" formatCode="_(&quot;$&quot;* #,##0_);_(&quot;$&quot;* \(#,##0\);_(&quot;$&quot;* &quot;-&quot;??_);_(@_)"/>
  </numFmts>
  <fonts count="50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Tw Cen MT"/>
      <family val="2"/>
    </font>
    <font>
      <sz val="10"/>
      <name val="Tw Cen MT"/>
      <family val="2"/>
    </font>
    <font>
      <b/>
      <sz val="10"/>
      <name val="Tw Cen MT"/>
      <family val="2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0"/>
      <name val="Helv"/>
    </font>
    <font>
      <sz val="10"/>
      <name val="MS Sans Serif"/>
      <family val="2"/>
    </font>
    <font>
      <sz val="10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8"/>
      <name val="ZapfHumnst BT"/>
      <family val="2"/>
    </font>
    <font>
      <sz val="12"/>
      <name val="Arial"/>
      <family val="2"/>
    </font>
    <font>
      <b/>
      <sz val="11"/>
      <color indexed="63"/>
      <name val="Calibri"/>
      <family val="2"/>
    </font>
    <font>
      <b/>
      <sz val="11"/>
      <name val="Arial"/>
      <family val="2"/>
    </font>
    <font>
      <b/>
      <sz val="14"/>
      <name val="Helv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i/>
      <sz val="9"/>
      <name val="Helv"/>
    </font>
    <font>
      <b/>
      <i/>
      <sz val="10"/>
      <name val="Tw Cen MT"/>
      <family val="2"/>
    </font>
    <font>
      <sz val="10"/>
      <color theme="1"/>
      <name val="Tw Cen MT"/>
      <family val="2"/>
    </font>
    <font>
      <b/>
      <sz val="11"/>
      <color theme="1"/>
      <name val="Tw Cen MT"/>
      <family val="2"/>
    </font>
    <font>
      <sz val="10"/>
      <name val="Arial"/>
      <family val="2"/>
    </font>
    <font>
      <b/>
      <i/>
      <sz val="10"/>
      <color theme="1"/>
      <name val="Tw Cen MT"/>
      <family val="2"/>
    </font>
    <font>
      <sz val="11"/>
      <name val="Tw Cen MT"/>
      <family val="2"/>
    </font>
    <font>
      <b/>
      <sz val="10"/>
      <color rgb="FFFF0000"/>
      <name val="Tw Cen MT"/>
      <family val="2"/>
    </font>
    <font>
      <i/>
      <sz val="10"/>
      <name val="Tw Cen MT"/>
      <family val="2"/>
    </font>
    <font>
      <sz val="10"/>
      <color theme="0" tint="-0.14999847407452621"/>
      <name val="Tw Cen MT"/>
      <family val="2"/>
    </font>
    <font>
      <b/>
      <sz val="10"/>
      <color theme="0" tint="-0.14999847407452621"/>
      <name val="Tw Cen MT"/>
      <family val="2"/>
    </font>
    <font>
      <u/>
      <sz val="10"/>
      <color theme="10"/>
      <name val="Arial"/>
      <family val="2"/>
    </font>
    <font>
      <b/>
      <sz val="11"/>
      <color theme="0" tint="-0.14999847407452621"/>
      <name val="Tw Cen MT"/>
      <family val="2"/>
    </font>
    <font>
      <b/>
      <i/>
      <sz val="10"/>
      <color theme="0" tint="-0.14999847407452621"/>
      <name val="Tw Cen MT"/>
      <family val="2"/>
    </font>
    <font>
      <u/>
      <sz val="8"/>
      <color theme="0" tint="-0.14999847407452621"/>
      <name val="Arial"/>
      <family val="2"/>
    </font>
    <font>
      <sz val="10"/>
      <color rgb="FFFF0000"/>
      <name val="Tw Cen MT"/>
      <family val="2"/>
    </font>
    <font>
      <u/>
      <sz val="10"/>
      <name val="Tw Cen MT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double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indexed="64"/>
      </right>
      <top style="medium">
        <color auto="1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07">
    <xf numFmtId="0" fontId="0" fillId="0" borderId="0"/>
    <xf numFmtId="9" fontId="4" fillId="0" borderId="0" applyFont="0" applyFill="0" applyBorder="0" applyAlignment="0" applyProtection="0"/>
    <xf numFmtId="0" fontId="8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1" applyNumberFormat="0" applyAlignment="0" applyProtection="0"/>
    <xf numFmtId="0" fontId="13" fillId="21" borderId="12" applyNumberFormat="0" applyAlignment="0" applyProtection="0"/>
    <xf numFmtId="37" fontId="14" fillId="0" borderId="2" applyNumberFormat="0" applyFill="0">
      <alignment horizontal="right" wrapText="1"/>
    </xf>
    <xf numFmtId="43" fontId="4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0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5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  <xf numFmtId="0" fontId="19" fillId="0" borderId="13" applyNumberFormat="0" applyFill="0" applyAlignment="0" applyProtection="0"/>
    <xf numFmtId="0" fontId="20" fillId="0" borderId="14" applyNumberFormat="0" applyFill="0" applyAlignment="0" applyProtection="0"/>
    <xf numFmtId="0" fontId="21" fillId="0" borderId="15" applyNumberFormat="0" applyFill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horizontal="left" vertical="top" wrapText="1" indent="1"/>
      <protection locked="0"/>
    </xf>
    <xf numFmtId="0" fontId="23" fillId="7" borderId="11" applyNumberFormat="0" applyAlignment="0" applyProtection="0"/>
    <xf numFmtId="0" fontId="24" fillId="0" borderId="16" applyNumberFormat="0" applyFill="0" applyAlignment="0" applyProtection="0"/>
    <xf numFmtId="0" fontId="25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7" fillId="0" borderId="0"/>
    <xf numFmtId="0" fontId="3" fillId="0" borderId="0"/>
    <xf numFmtId="0" fontId="4" fillId="0" borderId="0"/>
    <xf numFmtId="0" fontId="15" fillId="0" borderId="0"/>
    <xf numFmtId="0" fontId="4" fillId="0" borderId="0"/>
    <xf numFmtId="0" fontId="3" fillId="0" borderId="0"/>
    <xf numFmtId="0" fontId="1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23" borderId="17" applyNumberFormat="0" applyFont="0" applyAlignment="0" applyProtection="0"/>
    <xf numFmtId="0" fontId="28" fillId="20" borderId="18" applyNumberFormat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3" fontId="4" fillId="0" borderId="0" applyNumberFormat="0" applyBorder="0" applyProtection="0">
      <alignment horizontal="center" vertical="top" wrapText="1"/>
    </xf>
    <xf numFmtId="0" fontId="4" fillId="0" borderId="19" applyNumberFormat="0" applyProtection="0">
      <alignment horizontal="left" vertical="center"/>
    </xf>
    <xf numFmtId="0" fontId="4" fillId="0" borderId="0" applyNumberFormat="0" applyFill="0" applyBorder="0" applyProtection="0">
      <alignment horizontal="left" vertical="top" wrapText="1" indent="1"/>
    </xf>
    <xf numFmtId="0" fontId="4" fillId="0" borderId="0" applyNumberFormat="0" applyProtection="0">
      <alignment vertical="top" wrapText="1"/>
    </xf>
    <xf numFmtId="0" fontId="29" fillId="0" borderId="20" applyNumberFormat="0" applyProtection="0">
      <alignment horizontal="centerContinuous" vertical="center"/>
    </xf>
    <xf numFmtId="37" fontId="30" fillId="0" borderId="0" applyNumberFormat="0" applyFill="0" applyBorder="0" applyProtection="0">
      <alignment horizontal="centerContinuous"/>
    </xf>
    <xf numFmtId="0" fontId="31" fillId="0" borderId="21" applyNumberFormat="0" applyFill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4" fillId="0" borderId="22" applyNumberFormat="0" applyFont="0" applyBorder="0" applyAlignment="0" applyProtection="0"/>
    <xf numFmtId="0" fontId="32" fillId="0" borderId="0" applyNumberFormat="0" applyFill="0" applyBorder="0" applyAlignment="0" applyProtection="0"/>
    <xf numFmtId="167" fontId="33" fillId="0" borderId="2" applyFill="0">
      <alignment horizontal="right" wrapText="1"/>
    </xf>
    <xf numFmtId="44" fontId="2" fillId="0" borderId="0" applyFont="0" applyFill="0" applyBorder="0" applyAlignment="0" applyProtection="0"/>
    <xf numFmtId="0" fontId="2" fillId="0" borderId="0"/>
    <xf numFmtId="4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7" fillId="0" borderId="0"/>
    <xf numFmtId="43" fontId="4" fillId="0" borderId="0" applyFont="0" applyFill="0" applyBorder="0" applyAlignment="0" applyProtection="0"/>
    <xf numFmtId="0" fontId="44" fillId="0" borderId="0" applyNumberForma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6" fillId="0" borderId="0" xfId="0" applyFont="1"/>
    <xf numFmtId="0" fontId="6" fillId="0" borderId="1" xfId="0" applyFont="1" applyBorder="1"/>
    <xf numFmtId="0" fontId="7" fillId="0" borderId="4" xfId="0" applyFont="1" applyBorder="1" applyAlignment="1">
      <alignment horizontal="right" wrapText="1"/>
    </xf>
    <xf numFmtId="164" fontId="6" fillId="0" borderId="5" xfId="0" applyNumberFormat="1" applyFont="1" applyBorder="1"/>
    <xf numFmtId="164" fontId="6" fillId="0" borderId="0" xfId="0" applyNumberFormat="1" applyFont="1"/>
    <xf numFmtId="9" fontId="6" fillId="0" borderId="0" xfId="1" applyFont="1" applyFill="1" applyBorder="1"/>
    <xf numFmtId="3" fontId="6" fillId="0" borderId="0" xfId="0" applyNumberFormat="1" applyFont="1"/>
    <xf numFmtId="165" fontId="6" fillId="0" borderId="0" xfId="0" applyNumberFormat="1" applyFont="1"/>
    <xf numFmtId="0" fontId="7" fillId="0" borderId="0" xfId="0" applyFont="1"/>
    <xf numFmtId="0" fontId="6" fillId="0" borderId="0" xfId="2" applyFont="1"/>
    <xf numFmtId="0" fontId="7" fillId="0" borderId="0" xfId="0" applyFont="1" applyAlignment="1">
      <alignment horizontal="right"/>
    </xf>
    <xf numFmtId="9" fontId="6" fillId="0" borderId="0" xfId="1" applyFont="1" applyFill="1"/>
    <xf numFmtId="0" fontId="6" fillId="0" borderId="0" xfId="0" applyFont="1" applyAlignment="1">
      <alignment horizontal="center"/>
    </xf>
    <xf numFmtId="164" fontId="7" fillId="0" borderId="0" xfId="0" applyNumberFormat="1" applyFont="1"/>
    <xf numFmtId="6" fontId="6" fillId="0" borderId="0" xfId="0" applyNumberFormat="1" applyFont="1"/>
    <xf numFmtId="6" fontId="6" fillId="0" borderId="0" xfId="0" applyNumberFormat="1" applyFont="1" applyAlignment="1">
      <alignment horizontal="right"/>
    </xf>
    <xf numFmtId="8" fontId="6" fillId="0" borderId="0" xfId="0" applyNumberFormat="1" applyFont="1"/>
    <xf numFmtId="0" fontId="5" fillId="0" borderId="0" xfId="0" applyFont="1" applyAlignment="1">
      <alignment horizontal="center"/>
    </xf>
    <xf numFmtId="0" fontId="5" fillId="24" borderId="0" xfId="0" applyFont="1" applyFill="1"/>
    <xf numFmtId="0" fontId="6" fillId="24" borderId="0" xfId="0" applyFont="1" applyFill="1"/>
    <xf numFmtId="0" fontId="5" fillId="24" borderId="25" xfId="0" applyFont="1" applyFill="1" applyBorder="1"/>
    <xf numFmtId="0" fontId="6" fillId="24" borderId="0" xfId="0" applyFont="1" applyFill="1" applyAlignment="1">
      <alignment horizontal="left"/>
    </xf>
    <xf numFmtId="164" fontId="6" fillId="24" borderId="0" xfId="0" applyNumberFormat="1" applyFont="1" applyFill="1"/>
    <xf numFmtId="9" fontId="6" fillId="24" borderId="0" xfId="1" applyFont="1" applyFill="1" applyBorder="1"/>
    <xf numFmtId="0" fontId="6" fillId="24" borderId="0" xfId="0" applyFont="1" applyFill="1" applyAlignment="1">
      <alignment horizontal="left" wrapText="1"/>
    </xf>
    <xf numFmtId="3" fontId="6" fillId="24" borderId="0" xfId="0" applyNumberFormat="1" applyFont="1" applyFill="1"/>
    <xf numFmtId="0" fontId="5" fillId="24" borderId="0" xfId="0" applyFont="1" applyFill="1" applyAlignment="1">
      <alignment horizontal="left"/>
    </xf>
    <xf numFmtId="0" fontId="6" fillId="24" borderId="0" xfId="0" applyFont="1" applyFill="1" applyAlignment="1">
      <alignment horizontal="right"/>
    </xf>
    <xf numFmtId="5" fontId="6" fillId="24" borderId="0" xfId="98" applyNumberFormat="1" applyFont="1" applyFill="1" applyBorder="1"/>
    <xf numFmtId="0" fontId="5" fillId="24" borderId="27" xfId="0" applyFont="1" applyFill="1" applyBorder="1"/>
    <xf numFmtId="0" fontId="6" fillId="24" borderId="27" xfId="0" applyFont="1" applyFill="1" applyBorder="1"/>
    <xf numFmtId="0" fontId="34" fillId="24" borderId="28" xfId="0" applyFont="1" applyFill="1" applyBorder="1"/>
    <xf numFmtId="0" fontId="35" fillId="0" borderId="0" xfId="99" applyFont="1"/>
    <xf numFmtId="0" fontId="6" fillId="24" borderId="1" xfId="0" applyFont="1" applyFill="1" applyBorder="1"/>
    <xf numFmtId="0" fontId="6" fillId="24" borderId="0" xfId="0" applyFont="1" applyFill="1" applyAlignment="1">
      <alignment horizontal="center"/>
    </xf>
    <xf numFmtId="0" fontId="6" fillId="24" borderId="7" xfId="0" applyFont="1" applyFill="1" applyBorder="1"/>
    <xf numFmtId="0" fontId="6" fillId="24" borderId="9" xfId="0" applyFont="1" applyFill="1" applyBorder="1"/>
    <xf numFmtId="0" fontId="7" fillId="24" borderId="31" xfId="0" applyFont="1" applyFill="1" applyBorder="1" applyAlignment="1">
      <alignment horizontal="left"/>
    </xf>
    <xf numFmtId="0" fontId="7" fillId="24" borderId="25" xfId="0" applyFont="1" applyFill="1" applyBorder="1" applyAlignment="1">
      <alignment horizontal="center"/>
    </xf>
    <xf numFmtId="0" fontId="7" fillId="24" borderId="4" xfId="0" applyFont="1" applyFill="1" applyBorder="1" applyAlignment="1">
      <alignment horizontal="center"/>
    </xf>
    <xf numFmtId="0" fontId="7" fillId="24" borderId="31" xfId="0" applyFont="1" applyFill="1" applyBorder="1" applyAlignment="1">
      <alignment horizontal="center" wrapText="1"/>
    </xf>
    <xf numFmtId="1" fontId="6" fillId="24" borderId="9" xfId="0" applyNumberFormat="1" applyFont="1" applyFill="1" applyBorder="1" applyAlignment="1">
      <alignment horizontal="center"/>
    </xf>
    <xf numFmtId="0" fontId="7" fillId="0" borderId="3" xfId="0" applyFont="1" applyBorder="1" applyAlignment="1">
      <alignment horizontal="right" wrapText="1"/>
    </xf>
    <xf numFmtId="0" fontId="6" fillId="0" borderId="27" xfId="0" applyFont="1" applyBorder="1"/>
    <xf numFmtId="164" fontId="6" fillId="24" borderId="27" xfId="0" applyNumberFormat="1" applyFont="1" applyFill="1" applyBorder="1"/>
    <xf numFmtId="0" fontId="7" fillId="0" borderId="0" xfId="0" applyFont="1" applyAlignment="1">
      <alignment horizontal="right" wrapText="1"/>
    </xf>
    <xf numFmtId="0" fontId="35" fillId="0" borderId="27" xfId="99" applyFont="1" applyBorder="1"/>
    <xf numFmtId="0" fontId="38" fillId="0" borderId="27" xfId="99" applyFont="1" applyBorder="1"/>
    <xf numFmtId="1" fontId="6" fillId="24" borderId="0" xfId="0" applyNumberFormat="1" applyFont="1" applyFill="1"/>
    <xf numFmtId="0" fontId="7" fillId="24" borderId="0" xfId="0" applyFont="1" applyFill="1" applyAlignment="1">
      <alignment horizontal="center" wrapText="1"/>
    </xf>
    <xf numFmtId="1" fontId="6" fillId="24" borderId="0" xfId="0" applyNumberFormat="1" applyFont="1" applyFill="1" applyAlignment="1">
      <alignment horizontal="center"/>
    </xf>
    <xf numFmtId="0" fontId="6" fillId="24" borderId="27" xfId="0" applyFont="1" applyFill="1" applyBorder="1" applyAlignment="1">
      <alignment horizontal="center"/>
    </xf>
    <xf numFmtId="0" fontId="7" fillId="24" borderId="2" xfId="0" applyFont="1" applyFill="1" applyBorder="1" applyAlignment="1">
      <alignment horizontal="right" wrapText="1"/>
    </xf>
    <xf numFmtId="164" fontId="6" fillId="24" borderId="6" xfId="0" applyNumberFormat="1" applyFont="1" applyFill="1" applyBorder="1"/>
    <xf numFmtId="0" fontId="7" fillId="24" borderId="26" xfId="0" applyFont="1" applyFill="1" applyBorder="1"/>
    <xf numFmtId="0" fontId="7" fillId="24" borderId="4" xfId="0" applyFont="1" applyFill="1" applyBorder="1" applyAlignment="1">
      <alignment horizontal="right" wrapText="1"/>
    </xf>
    <xf numFmtId="165" fontId="6" fillId="24" borderId="0" xfId="0" applyNumberFormat="1" applyFont="1" applyFill="1"/>
    <xf numFmtId="37" fontId="6" fillId="24" borderId="0" xfId="105" applyNumberFormat="1" applyFont="1" applyFill="1" applyBorder="1" applyAlignment="1">
      <alignment horizontal="right"/>
    </xf>
    <xf numFmtId="1" fontId="6" fillId="24" borderId="7" xfId="0" applyNumberFormat="1" applyFont="1" applyFill="1" applyBorder="1" applyAlignment="1">
      <alignment horizontal="center"/>
    </xf>
    <xf numFmtId="0" fontId="6" fillId="24" borderId="5" xfId="0" applyFont="1" applyFill="1" applyBorder="1" applyAlignment="1">
      <alignment horizontal="center"/>
    </xf>
    <xf numFmtId="164" fontId="6" fillId="24" borderId="10" xfId="0" applyNumberFormat="1" applyFont="1" applyFill="1" applyBorder="1" applyAlignment="1">
      <alignment horizontal="center"/>
    </xf>
    <xf numFmtId="0" fontId="7" fillId="24" borderId="42" xfId="0" applyFont="1" applyFill="1" applyBorder="1" applyAlignment="1">
      <alignment horizontal="center" wrapText="1"/>
    </xf>
    <xf numFmtId="164" fontId="6" fillId="24" borderId="23" xfId="0" applyNumberFormat="1" applyFont="1" applyFill="1" applyBorder="1" applyAlignment="1">
      <alignment horizontal="center"/>
    </xf>
    <xf numFmtId="164" fontId="6" fillId="24" borderId="5" xfId="0" applyNumberFormat="1" applyFont="1" applyFill="1" applyBorder="1" applyAlignment="1">
      <alignment horizontal="center"/>
    </xf>
    <xf numFmtId="164" fontId="6" fillId="24" borderId="24" xfId="0" applyNumberFormat="1" applyFont="1" applyFill="1" applyBorder="1" applyAlignment="1">
      <alignment horizontal="center"/>
    </xf>
    <xf numFmtId="0" fontId="7" fillId="24" borderId="43" xfId="0" applyFont="1" applyFill="1" applyBorder="1" applyAlignment="1">
      <alignment horizontal="center" wrapText="1"/>
    </xf>
    <xf numFmtId="0" fontId="7" fillId="24" borderId="38" xfId="0" applyFont="1" applyFill="1" applyBorder="1"/>
    <xf numFmtId="0" fontId="7" fillId="24" borderId="38" xfId="0" applyFont="1" applyFill="1" applyBorder="1" applyAlignment="1">
      <alignment horizontal="center"/>
    </xf>
    <xf numFmtId="164" fontId="7" fillId="24" borderId="38" xfId="0" applyNumberFormat="1" applyFont="1" applyFill="1" applyBorder="1"/>
    <xf numFmtId="0" fontId="7" fillId="24" borderId="41" xfId="0" applyFont="1" applyFill="1" applyBorder="1" applyAlignment="1">
      <alignment horizontal="center"/>
    </xf>
    <xf numFmtId="1" fontId="6" fillId="24" borderId="5" xfId="0" applyNumberFormat="1" applyFont="1" applyFill="1" applyBorder="1" applyAlignment="1">
      <alignment horizontal="center"/>
    </xf>
    <xf numFmtId="164" fontId="7" fillId="24" borderId="1" xfId="0" applyNumberFormat="1" applyFont="1" applyFill="1" applyBorder="1" applyAlignment="1">
      <alignment horizontal="center"/>
    </xf>
    <xf numFmtId="0" fontId="7" fillId="24" borderId="31" xfId="0" applyFont="1" applyFill="1" applyBorder="1" applyAlignment="1">
      <alignment horizontal="left" vertical="center"/>
    </xf>
    <xf numFmtId="5" fontId="34" fillId="24" borderId="0" xfId="98" applyNumberFormat="1" applyFont="1" applyFill="1" applyBorder="1"/>
    <xf numFmtId="44" fontId="6" fillId="24" borderId="0" xfId="100" applyFont="1" applyFill="1"/>
    <xf numFmtId="0" fontId="35" fillId="24" borderId="0" xfId="99" applyFont="1" applyFill="1"/>
    <xf numFmtId="164" fontId="35" fillId="24" borderId="0" xfId="99" applyNumberFormat="1" applyFont="1" applyFill="1"/>
    <xf numFmtId="0" fontId="6" fillId="24" borderId="44" xfId="0" applyFont="1" applyFill="1" applyBorder="1"/>
    <xf numFmtId="164" fontId="6" fillId="24" borderId="44" xfId="0" applyNumberFormat="1" applyFont="1" applyFill="1" applyBorder="1"/>
    <xf numFmtId="0" fontId="7" fillId="24" borderId="29" xfId="0" applyFont="1" applyFill="1" applyBorder="1"/>
    <xf numFmtId="6" fontId="7" fillId="24" borderId="29" xfId="0" applyNumberFormat="1" applyFont="1" applyFill="1" applyBorder="1" applyAlignment="1">
      <alignment horizontal="right"/>
    </xf>
    <xf numFmtId="0" fontId="39" fillId="24" borderId="0" xfId="0" applyFont="1" applyFill="1"/>
    <xf numFmtId="0" fontId="7" fillId="24" borderId="0" xfId="0" applyFont="1" applyFill="1"/>
    <xf numFmtId="0" fontId="6" fillId="24" borderId="0" xfId="0" applyFont="1" applyFill="1" applyAlignment="1">
      <alignment horizontal="left" indent="2"/>
    </xf>
    <xf numFmtId="170" fontId="6" fillId="24" borderId="0" xfId="105" applyNumberFormat="1" applyFont="1" applyFill="1" applyBorder="1"/>
    <xf numFmtId="0" fontId="6" fillId="24" borderId="0" xfId="0" applyFont="1" applyFill="1" applyAlignment="1">
      <alignment horizontal="left" indent="1"/>
    </xf>
    <xf numFmtId="0" fontId="6" fillId="24" borderId="24" xfId="0" applyFont="1" applyFill="1" applyBorder="1" applyAlignment="1">
      <alignment horizontal="center"/>
    </xf>
    <xf numFmtId="0" fontId="6" fillId="24" borderId="7" xfId="0" applyFont="1" applyFill="1" applyBorder="1" applyAlignment="1">
      <alignment horizontal="left" indent="1"/>
    </xf>
    <xf numFmtId="0" fontId="6" fillId="24" borderId="0" xfId="0" applyFont="1" applyFill="1" applyAlignment="1">
      <alignment horizontal="left" vertical="top" wrapText="1"/>
    </xf>
    <xf numFmtId="0" fontId="6" fillId="24" borderId="0" xfId="0" applyFont="1" applyFill="1" applyAlignment="1">
      <alignment vertical="top" wrapText="1"/>
    </xf>
    <xf numFmtId="0" fontId="6" fillId="24" borderId="9" xfId="0" applyFont="1" applyFill="1" applyBorder="1" applyAlignment="1">
      <alignment horizontal="left" indent="1"/>
    </xf>
    <xf numFmtId="0" fontId="7" fillId="24" borderId="33" xfId="0" applyFont="1" applyFill="1" applyBorder="1"/>
    <xf numFmtId="0" fontId="7" fillId="24" borderId="37" xfId="0" applyFont="1" applyFill="1" applyBorder="1" applyAlignment="1">
      <alignment horizontal="center"/>
    </xf>
    <xf numFmtId="0" fontId="7" fillId="24" borderId="36" xfId="0" applyFont="1" applyFill="1" applyBorder="1"/>
    <xf numFmtId="1" fontId="7" fillId="24" borderId="35" xfId="0" applyNumberFormat="1" applyFont="1" applyFill="1" applyBorder="1" applyAlignment="1">
      <alignment horizontal="center"/>
    </xf>
    <xf numFmtId="0" fontId="41" fillId="24" borderId="32" xfId="0" applyFont="1" applyFill="1" applyBorder="1"/>
    <xf numFmtId="1" fontId="41" fillId="24" borderId="32" xfId="0" applyNumberFormat="1" applyFont="1" applyFill="1" applyBorder="1" applyAlignment="1">
      <alignment horizontal="center"/>
    </xf>
    <xf numFmtId="0" fontId="41" fillId="24" borderId="39" xfId="0" applyFont="1" applyFill="1" applyBorder="1" applyAlignment="1">
      <alignment horizontal="center"/>
    </xf>
    <xf numFmtId="164" fontId="7" fillId="24" borderId="4" xfId="0" applyNumberFormat="1" applyFont="1" applyFill="1" applyBorder="1" applyAlignment="1">
      <alignment horizontal="right" wrapText="1"/>
    </xf>
    <xf numFmtId="0" fontId="7" fillId="24" borderId="31" xfId="0" applyFont="1" applyFill="1" applyBorder="1" applyAlignment="1">
      <alignment wrapText="1"/>
    </xf>
    <xf numFmtId="0" fontId="6" fillId="24" borderId="0" xfId="0" applyFont="1" applyFill="1" applyAlignment="1">
      <alignment wrapText="1"/>
    </xf>
    <xf numFmtId="0" fontId="7" fillId="24" borderId="4" xfId="0" applyFont="1" applyFill="1" applyBorder="1" applyAlignment="1">
      <alignment wrapText="1"/>
    </xf>
    <xf numFmtId="5" fontId="34" fillId="24" borderId="46" xfId="98" applyNumberFormat="1" applyFont="1" applyFill="1" applyBorder="1"/>
    <xf numFmtId="3" fontId="6" fillId="24" borderId="6" xfId="0" applyNumberFormat="1" applyFont="1" applyFill="1" applyBorder="1"/>
    <xf numFmtId="3" fontId="34" fillId="24" borderId="46" xfId="98" applyNumberFormat="1" applyFont="1" applyFill="1" applyBorder="1"/>
    <xf numFmtId="3" fontId="34" fillId="24" borderId="0" xfId="98" applyNumberFormat="1" applyFont="1" applyFill="1" applyBorder="1"/>
    <xf numFmtId="6" fontId="7" fillId="24" borderId="0" xfId="0" applyNumberFormat="1" applyFont="1" applyFill="1" applyAlignment="1">
      <alignment horizontal="right"/>
    </xf>
    <xf numFmtId="0" fontId="42" fillId="0" borderId="0" xfId="99" applyFont="1"/>
    <xf numFmtId="0" fontId="34" fillId="24" borderId="7" xfId="0" applyFont="1" applyFill="1" applyBorder="1"/>
    <xf numFmtId="0" fontId="7" fillId="24" borderId="35" xfId="0" applyFont="1" applyFill="1" applyBorder="1"/>
    <xf numFmtId="168" fontId="6" fillId="0" borderId="0" xfId="1" applyNumberFormat="1" applyFont="1" applyFill="1"/>
    <xf numFmtId="1" fontId="6" fillId="24" borderId="0" xfId="0" applyNumberFormat="1" applyFont="1" applyFill="1" applyAlignment="1">
      <alignment horizontal="right"/>
    </xf>
    <xf numFmtId="164" fontId="6" fillId="24" borderId="0" xfId="0" applyNumberFormat="1" applyFont="1" applyFill="1" applyAlignment="1">
      <alignment horizontal="center"/>
    </xf>
    <xf numFmtId="9" fontId="6" fillId="0" borderId="0" xfId="0" applyNumberFormat="1" applyFont="1"/>
    <xf numFmtId="1" fontId="7" fillId="24" borderId="5" xfId="0" applyNumberFormat="1" applyFont="1" applyFill="1" applyBorder="1" applyAlignment="1">
      <alignment horizontal="center"/>
    </xf>
    <xf numFmtId="1" fontId="7" fillId="24" borderId="45" xfId="0" applyNumberFormat="1" applyFont="1" applyFill="1" applyBorder="1" applyAlignment="1">
      <alignment horizontal="center"/>
    </xf>
    <xf numFmtId="0" fontId="6" fillId="24" borderId="30" xfId="0" applyFont="1" applyFill="1" applyBorder="1"/>
    <xf numFmtId="164" fontId="7" fillId="24" borderId="34" xfId="0" applyNumberFormat="1" applyFont="1" applyFill="1" applyBorder="1"/>
    <xf numFmtId="9" fontId="7" fillId="24" borderId="26" xfId="0" applyNumberFormat="1" applyFont="1" applyFill="1" applyBorder="1"/>
    <xf numFmtId="164" fontId="7" fillId="24" borderId="39" xfId="0" applyNumberFormat="1" applyFont="1" applyFill="1" applyBorder="1"/>
    <xf numFmtId="2" fontId="6" fillId="24" borderId="0" xfId="0" applyNumberFormat="1" applyFont="1" applyFill="1" applyAlignment="1">
      <alignment horizontal="center"/>
    </xf>
    <xf numFmtId="2" fontId="6" fillId="24" borderId="24" xfId="0" applyNumberFormat="1" applyFont="1" applyFill="1" applyBorder="1" applyAlignment="1">
      <alignment horizontal="center"/>
    </xf>
    <xf numFmtId="0" fontId="6" fillId="24" borderId="2" xfId="0" applyFont="1" applyFill="1" applyBorder="1"/>
    <xf numFmtId="0" fontId="6" fillId="24" borderId="2" xfId="0" applyFont="1" applyFill="1" applyBorder="1" applyAlignment="1">
      <alignment horizontal="center"/>
    </xf>
    <xf numFmtId="2" fontId="6" fillId="24" borderId="2" xfId="0" applyNumberFormat="1" applyFont="1" applyFill="1" applyBorder="1" applyAlignment="1">
      <alignment horizontal="center"/>
    </xf>
    <xf numFmtId="0" fontId="7" fillId="24" borderId="0" xfId="0" applyFont="1" applyFill="1" applyAlignment="1">
      <alignment horizontal="center"/>
    </xf>
    <xf numFmtId="2" fontId="7" fillId="24" borderId="0" xfId="0" applyNumberFormat="1" applyFont="1" applyFill="1" applyAlignment="1">
      <alignment horizontal="center"/>
    </xf>
    <xf numFmtId="2" fontId="7" fillId="24" borderId="0" xfId="0" applyNumberFormat="1" applyFont="1" applyFill="1"/>
    <xf numFmtId="0" fontId="39" fillId="24" borderId="0" xfId="0" applyFont="1" applyFill="1" applyAlignment="1">
      <alignment horizontal="left"/>
    </xf>
    <xf numFmtId="0" fontId="7" fillId="24" borderId="0" xfId="0" applyFont="1" applyFill="1" applyAlignment="1">
      <alignment wrapText="1"/>
    </xf>
    <xf numFmtId="0" fontId="7" fillId="0" borderId="3" xfId="0" applyFont="1" applyBorder="1"/>
    <xf numFmtId="0" fontId="6" fillId="0" borderId="6" xfId="0" applyFont="1" applyBorder="1"/>
    <xf numFmtId="0" fontId="7" fillId="0" borderId="23" xfId="0" applyFont="1" applyBorder="1" applyAlignment="1">
      <alignment vertical="top"/>
    </xf>
    <xf numFmtId="164" fontId="7" fillId="24" borderId="8" xfId="0" applyNumberFormat="1" applyFont="1" applyFill="1" applyBorder="1" applyAlignment="1">
      <alignment vertical="top"/>
    </xf>
    <xf numFmtId="164" fontId="7" fillId="24" borderId="30" xfId="0" applyNumberFormat="1" applyFont="1" applyFill="1" applyBorder="1" applyAlignment="1">
      <alignment vertical="top"/>
    </xf>
    <xf numFmtId="164" fontId="7" fillId="0" borderId="27" xfId="0" applyNumberFormat="1" applyFont="1" applyBorder="1"/>
    <xf numFmtId="164" fontId="7" fillId="0" borderId="53" xfId="0" applyNumberFormat="1" applyFont="1" applyBorder="1"/>
    <xf numFmtId="164" fontId="6" fillId="0" borderId="55" xfId="0" applyNumberFormat="1" applyFont="1" applyBorder="1" applyAlignment="1">
      <alignment vertical="center"/>
    </xf>
    <xf numFmtId="164" fontId="6" fillId="0" borderId="6" xfId="1" applyNumberFormat="1" applyFont="1" applyFill="1" applyBorder="1"/>
    <xf numFmtId="164" fontId="7" fillId="0" borderId="1" xfId="0" applyNumberFormat="1" applyFont="1" applyBorder="1"/>
    <xf numFmtId="9" fontId="6" fillId="0" borderId="5" xfId="0" applyNumberFormat="1" applyFont="1" applyBorder="1"/>
    <xf numFmtId="9" fontId="6" fillId="0" borderId="10" xfId="0" applyNumberFormat="1" applyFont="1" applyBorder="1"/>
    <xf numFmtId="9" fontId="7" fillId="0" borderId="0" xfId="0" applyNumberFormat="1" applyFont="1" applyAlignment="1">
      <alignment vertical="top"/>
    </xf>
    <xf numFmtId="164" fontId="7" fillId="24" borderId="57" xfId="0" applyNumberFormat="1" applyFont="1" applyFill="1" applyBorder="1" applyAlignment="1">
      <alignment vertical="top"/>
    </xf>
    <xf numFmtId="0" fontId="7" fillId="0" borderId="4" xfId="0" applyFont="1" applyBorder="1"/>
    <xf numFmtId="164" fontId="6" fillId="0" borderId="6" xfId="0" applyNumberFormat="1" applyFont="1" applyBorder="1"/>
    <xf numFmtId="0" fontId="6" fillId="0" borderId="54" xfId="0" applyFont="1" applyBorder="1" applyAlignment="1">
      <alignment vertical="center"/>
    </xf>
    <xf numFmtId="0" fontId="7" fillId="0" borderId="58" xfId="0" applyFont="1" applyBorder="1"/>
    <xf numFmtId="3" fontId="6" fillId="0" borderId="55" xfId="0" applyNumberFormat="1" applyFont="1" applyBorder="1" applyAlignment="1">
      <alignment vertical="center"/>
    </xf>
    <xf numFmtId="3" fontId="6" fillId="0" borderId="56" xfId="0" applyNumberFormat="1" applyFont="1" applyBorder="1" applyAlignment="1">
      <alignment vertical="center"/>
    </xf>
    <xf numFmtId="3" fontId="6" fillId="24" borderId="59" xfId="0" applyNumberFormat="1" applyFont="1" applyFill="1" applyBorder="1"/>
    <xf numFmtId="0" fontId="6" fillId="24" borderId="43" xfId="0" applyFont="1" applyFill="1" applyBorder="1"/>
    <xf numFmtId="0" fontId="6" fillId="24" borderId="6" xfId="0" applyFont="1" applyFill="1" applyBorder="1"/>
    <xf numFmtId="0" fontId="7" fillId="24" borderId="10" xfId="0" applyFont="1" applyFill="1" applyBorder="1"/>
    <xf numFmtId="0" fontId="6" fillId="24" borderId="60" xfId="0" applyFont="1" applyFill="1" applyBorder="1"/>
    <xf numFmtId="3" fontId="6" fillId="24" borderId="0" xfId="0" applyNumberFormat="1" applyFont="1" applyFill="1" applyAlignment="1">
      <alignment horizontal="center"/>
    </xf>
    <xf numFmtId="3" fontId="7" fillId="24" borderId="36" xfId="0" applyNumberFormat="1" applyFont="1" applyFill="1" applyBorder="1" applyAlignment="1">
      <alignment horizontal="center"/>
    </xf>
    <xf numFmtId="3" fontId="6" fillId="24" borderId="2" xfId="0" applyNumberFormat="1" applyFont="1" applyFill="1" applyBorder="1" applyAlignment="1">
      <alignment horizontal="center"/>
    </xf>
    <xf numFmtId="3" fontId="6" fillId="24" borderId="23" xfId="0" applyNumberFormat="1" applyFont="1" applyFill="1" applyBorder="1" applyAlignment="1">
      <alignment horizontal="center"/>
    </xf>
    <xf numFmtId="3" fontId="6" fillId="24" borderId="5" xfId="0" applyNumberFormat="1" applyFont="1" applyFill="1" applyBorder="1" applyAlignment="1">
      <alignment horizontal="center"/>
    </xf>
    <xf numFmtId="3" fontId="6" fillId="24" borderId="10" xfId="0" applyNumberFormat="1" applyFont="1" applyFill="1" applyBorder="1" applyAlignment="1">
      <alignment horizontal="center"/>
    </xf>
    <xf numFmtId="3" fontId="6" fillId="24" borderId="7" xfId="0" applyNumberFormat="1" applyFont="1" applyFill="1" applyBorder="1"/>
    <xf numFmtId="3" fontId="6" fillId="24" borderId="61" xfId="0" applyNumberFormat="1" applyFont="1" applyFill="1" applyBorder="1"/>
    <xf numFmtId="3" fontId="7" fillId="24" borderId="9" xfId="0" applyNumberFormat="1" applyFont="1" applyFill="1" applyBorder="1"/>
    <xf numFmtId="3" fontId="6" fillId="0" borderId="7" xfId="0" applyNumberFormat="1" applyFont="1" applyBorder="1"/>
    <xf numFmtId="0" fontId="6" fillId="24" borderId="0" xfId="0" applyFont="1" applyFill="1" applyAlignment="1">
      <alignment horizontal="left" vertical="center"/>
    </xf>
    <xf numFmtId="0" fontId="7" fillId="24" borderId="3" xfId="0" applyFont="1" applyFill="1" applyBorder="1" applyAlignment="1">
      <alignment horizontal="center" wrapText="1"/>
    </xf>
    <xf numFmtId="1" fontId="6" fillId="24" borderId="24" xfId="0" applyNumberFormat="1" applyFont="1" applyFill="1" applyBorder="1" applyAlignment="1">
      <alignment horizontal="center"/>
    </xf>
    <xf numFmtId="3" fontId="6" fillId="24" borderId="10" xfId="0" applyNumberFormat="1" applyFont="1" applyFill="1" applyBorder="1"/>
    <xf numFmtId="9" fontId="6" fillId="24" borderId="62" xfId="0" applyNumberFormat="1" applyFont="1" applyFill="1" applyBorder="1" applyAlignment="1">
      <alignment horizontal="center"/>
    </xf>
    <xf numFmtId="9" fontId="6" fillId="24" borderId="7" xfId="0" applyNumberFormat="1" applyFont="1" applyFill="1" applyBorder="1" applyAlignment="1">
      <alignment horizontal="center"/>
    </xf>
    <xf numFmtId="9" fontId="6" fillId="24" borderId="9" xfId="0" applyNumberFormat="1" applyFont="1" applyFill="1" applyBorder="1" applyAlignment="1">
      <alignment horizontal="center"/>
    </xf>
    <xf numFmtId="3" fontId="6" fillId="24" borderId="63" xfId="0" applyNumberFormat="1" applyFont="1" applyFill="1" applyBorder="1" applyAlignment="1">
      <alignment horizontal="center"/>
    </xf>
    <xf numFmtId="3" fontId="6" fillId="24" borderId="6" xfId="0" applyNumberFormat="1" applyFont="1" applyFill="1" applyBorder="1" applyAlignment="1">
      <alignment horizontal="center"/>
    </xf>
    <xf numFmtId="9" fontId="6" fillId="24" borderId="6" xfId="1" applyFont="1" applyFill="1" applyBorder="1"/>
    <xf numFmtId="1" fontId="6" fillId="24" borderId="2" xfId="0" applyNumberFormat="1" applyFont="1" applyFill="1" applyBorder="1" applyAlignment="1">
      <alignment horizontal="center"/>
    </xf>
    <xf numFmtId="1" fontId="41" fillId="24" borderId="34" xfId="0" applyNumberFormat="1" applyFont="1" applyFill="1" applyBorder="1" applyAlignment="1">
      <alignment horizontal="center"/>
    </xf>
    <xf numFmtId="1" fontId="6" fillId="24" borderId="6" xfId="0" applyNumberFormat="1" applyFont="1" applyFill="1" applyBorder="1" applyAlignment="1">
      <alignment horizontal="center"/>
    </xf>
    <xf numFmtId="1" fontId="6" fillId="24" borderId="10" xfId="0" applyNumberFormat="1" applyFont="1" applyFill="1" applyBorder="1" applyAlignment="1">
      <alignment horizontal="center"/>
    </xf>
    <xf numFmtId="0" fontId="35" fillId="0" borderId="47" xfId="99" applyFont="1" applyBorder="1"/>
    <xf numFmtId="0" fontId="36" fillId="0" borderId="0" xfId="99" applyFont="1"/>
    <xf numFmtId="0" fontId="35" fillId="0" borderId="48" xfId="99" applyFont="1" applyBorder="1"/>
    <xf numFmtId="5" fontId="35" fillId="0" borderId="0" xfId="105" applyNumberFormat="1" applyFont="1" applyFill="1" applyBorder="1" applyAlignment="1">
      <alignment horizontal="right"/>
    </xf>
    <xf numFmtId="0" fontId="6" fillId="0" borderId="0" xfId="65" applyFont="1" applyAlignment="1">
      <alignment horizontal="left"/>
    </xf>
    <xf numFmtId="0" fontId="35" fillId="0" borderId="49" xfId="99" applyFont="1" applyBorder="1"/>
    <xf numFmtId="0" fontId="35" fillId="0" borderId="50" xfId="99" applyFont="1" applyBorder="1"/>
    <xf numFmtId="164" fontId="42" fillId="0" borderId="0" xfId="99" applyNumberFormat="1" applyFont="1"/>
    <xf numFmtId="43" fontId="6" fillId="0" borderId="0" xfId="105" applyFont="1"/>
    <xf numFmtId="0" fontId="0" fillId="24" borderId="0" xfId="0" applyFill="1"/>
    <xf numFmtId="0" fontId="36" fillId="24" borderId="0" xfId="99" applyFont="1" applyFill="1"/>
    <xf numFmtId="0" fontId="35" fillId="24" borderId="27" xfId="99" applyFont="1" applyFill="1" applyBorder="1"/>
    <xf numFmtId="170" fontId="35" fillId="24" borderId="0" xfId="105" applyNumberFormat="1" applyFont="1" applyFill="1" applyBorder="1" applyAlignment="1">
      <alignment horizontal="right" wrapText="1"/>
    </xf>
    <xf numFmtId="0" fontId="38" fillId="24" borderId="27" xfId="99" applyFont="1" applyFill="1" applyBorder="1"/>
    <xf numFmtId="5" fontId="38" fillId="24" borderId="27" xfId="99" applyNumberFormat="1" applyFont="1" applyFill="1" applyBorder="1" applyAlignment="1">
      <alignment horizontal="right"/>
    </xf>
    <xf numFmtId="0" fontId="6" fillId="24" borderId="0" xfId="65" applyFont="1" applyFill="1" applyAlignment="1">
      <alignment horizontal="left"/>
    </xf>
    <xf numFmtId="37" fontId="35" fillId="24" borderId="0" xfId="105" applyNumberFormat="1" applyFont="1" applyFill="1" applyBorder="1" applyAlignment="1">
      <alignment horizontal="right"/>
    </xf>
    <xf numFmtId="164" fontId="35" fillId="24" borderId="0" xfId="1" applyNumberFormat="1" applyFont="1" applyFill="1" applyBorder="1" applyAlignment="1">
      <alignment horizontal="right"/>
    </xf>
    <xf numFmtId="9" fontId="35" fillId="24" borderId="0" xfId="99" applyNumberFormat="1" applyFont="1" applyFill="1" applyAlignment="1">
      <alignment horizontal="right"/>
    </xf>
    <xf numFmtId="10" fontId="35" fillId="24" borderId="0" xfId="105" applyNumberFormat="1" applyFont="1" applyFill="1" applyBorder="1" applyAlignment="1">
      <alignment horizontal="right"/>
    </xf>
    <xf numFmtId="164" fontId="35" fillId="24" borderId="0" xfId="105" applyNumberFormat="1" applyFont="1" applyFill="1" applyBorder="1" applyAlignment="1">
      <alignment horizontal="right"/>
    </xf>
    <xf numFmtId="0" fontId="6" fillId="24" borderId="26" xfId="0" applyFont="1" applyFill="1" applyBorder="1"/>
    <xf numFmtId="6" fontId="6" fillId="24" borderId="26" xfId="0" applyNumberFormat="1" applyFont="1" applyFill="1" applyBorder="1" applyAlignment="1">
      <alignment horizontal="right"/>
    </xf>
    <xf numFmtId="164" fontId="48" fillId="24" borderId="0" xfId="0" applyNumberFormat="1" applyFont="1" applyFill="1"/>
    <xf numFmtId="164" fontId="48" fillId="24" borderId="0" xfId="0" applyNumberFormat="1" applyFont="1" applyFill="1" applyAlignment="1">
      <alignment horizontal="right"/>
    </xf>
    <xf numFmtId="164" fontId="48" fillId="24" borderId="44" xfId="0" applyNumberFormat="1" applyFont="1" applyFill="1" applyBorder="1" applyAlignment="1">
      <alignment horizontal="right"/>
    </xf>
    <xf numFmtId="171" fontId="6" fillId="24" borderId="0" xfId="100" applyNumberFormat="1" applyFont="1" applyFill="1" applyBorder="1" applyAlignment="1">
      <alignment horizontal="center"/>
    </xf>
    <xf numFmtId="44" fontId="6" fillId="24" borderId="0" xfId="100" applyFont="1" applyFill="1" applyBorder="1" applyAlignment="1">
      <alignment horizontal="center"/>
    </xf>
    <xf numFmtId="171" fontId="6" fillId="24" borderId="0" xfId="100" applyNumberFormat="1" applyFont="1" applyFill="1" applyBorder="1"/>
    <xf numFmtId="44" fontId="6" fillId="24" borderId="0" xfId="100" applyFont="1" applyFill="1" applyBorder="1"/>
    <xf numFmtId="0" fontId="7" fillId="24" borderId="0" xfId="0" applyFont="1" applyFill="1" applyAlignment="1">
      <alignment horizontal="left"/>
    </xf>
    <xf numFmtId="169" fontId="6" fillId="24" borderId="0" xfId="0" applyNumberFormat="1" applyFont="1" applyFill="1"/>
    <xf numFmtId="6" fontId="6" fillId="24" borderId="0" xfId="0" applyNumberFormat="1" applyFont="1" applyFill="1"/>
    <xf numFmtId="8" fontId="6" fillId="24" borderId="0" xfId="0" applyNumberFormat="1" applyFont="1" applyFill="1"/>
    <xf numFmtId="0" fontId="42" fillId="24" borderId="0" xfId="99" applyFont="1" applyFill="1"/>
    <xf numFmtId="0" fontId="45" fillId="24" borderId="0" xfId="99" applyFont="1" applyFill="1"/>
    <xf numFmtId="164" fontId="42" fillId="24" borderId="0" xfId="99" applyNumberFormat="1" applyFont="1" applyFill="1"/>
    <xf numFmtId="0" fontId="45" fillId="24" borderId="0" xfId="0" applyFont="1" applyFill="1"/>
    <xf numFmtId="170" fontId="42" fillId="24" borderId="0" xfId="105" applyNumberFormat="1" applyFont="1" applyFill="1" applyBorder="1" applyAlignment="1">
      <alignment horizontal="right" wrapText="1"/>
    </xf>
    <xf numFmtId="164" fontId="42" fillId="24" borderId="0" xfId="99" applyNumberFormat="1" applyFont="1" applyFill="1" applyAlignment="1">
      <alignment horizontal="right"/>
    </xf>
    <xf numFmtId="164" fontId="42" fillId="24" borderId="0" xfId="1" applyNumberFormat="1" applyFont="1" applyFill="1" applyBorder="1" applyAlignment="1">
      <alignment horizontal="right"/>
    </xf>
    <xf numFmtId="170" fontId="42" fillId="24" borderId="0" xfId="105" applyNumberFormat="1" applyFont="1" applyFill="1" applyBorder="1" applyAlignment="1">
      <alignment horizontal="right"/>
    </xf>
    <xf numFmtId="0" fontId="46" fillId="24" borderId="0" xfId="99" applyFont="1" applyFill="1"/>
    <xf numFmtId="5" fontId="46" fillId="24" borderId="0" xfId="99" applyNumberFormat="1" applyFont="1" applyFill="1" applyAlignment="1">
      <alignment horizontal="right"/>
    </xf>
    <xf numFmtId="0" fontId="42" fillId="24" borderId="0" xfId="65" applyFont="1" applyFill="1" applyAlignment="1">
      <alignment horizontal="left"/>
    </xf>
    <xf numFmtId="0" fontId="43" fillId="24" borderId="0" xfId="99" applyFont="1" applyFill="1"/>
    <xf numFmtId="164" fontId="42" fillId="24" borderId="0" xfId="99" applyNumberFormat="1" applyFont="1" applyFill="1" applyAlignment="1">
      <alignment wrapText="1"/>
    </xf>
    <xf numFmtId="0" fontId="47" fillId="24" borderId="0" xfId="106" applyFont="1" applyFill="1" applyBorder="1"/>
    <xf numFmtId="0" fontId="35" fillId="0" borderId="64" xfId="99" applyFont="1" applyBorder="1"/>
    <xf numFmtId="0" fontId="35" fillId="0" borderId="8" xfId="99" applyFont="1" applyBorder="1"/>
    <xf numFmtId="168" fontId="35" fillId="0" borderId="8" xfId="1" applyNumberFormat="1" applyFont="1" applyFill="1" applyBorder="1"/>
    <xf numFmtId="0" fontId="35" fillId="0" borderId="65" xfId="99" applyFont="1" applyBorder="1"/>
    <xf numFmtId="0" fontId="6" fillId="24" borderId="66" xfId="0" applyFont="1" applyFill="1" applyBorder="1"/>
    <xf numFmtId="0" fontId="6" fillId="24" borderId="42" xfId="0" applyFont="1" applyFill="1" applyBorder="1"/>
    <xf numFmtId="0" fontId="6" fillId="24" borderId="67" xfId="0" applyFont="1" applyFill="1" applyBorder="1"/>
    <xf numFmtId="0" fontId="6" fillId="24" borderId="47" xfId="0" applyFont="1" applyFill="1" applyBorder="1"/>
    <xf numFmtId="0" fontId="6" fillId="24" borderId="48" xfId="0" applyFont="1" applyFill="1" applyBorder="1"/>
    <xf numFmtId="0" fontId="6" fillId="24" borderId="49" xfId="0" applyFont="1" applyFill="1" applyBorder="1"/>
    <xf numFmtId="0" fontId="6" fillId="24" borderId="50" xfId="0" applyFont="1" applyFill="1" applyBorder="1"/>
    <xf numFmtId="165" fontId="6" fillId="24" borderId="0" xfId="0" applyNumberFormat="1" applyFont="1" applyFill="1" applyAlignment="1">
      <alignment horizontal="right"/>
    </xf>
    <xf numFmtId="3" fontId="7" fillId="0" borderId="0" xfId="0" applyNumberFormat="1" applyFont="1" applyAlignment="1">
      <alignment horizontal="right"/>
    </xf>
    <xf numFmtId="0" fontId="49" fillId="24" borderId="0" xfId="0" applyFont="1" applyFill="1"/>
    <xf numFmtId="0" fontId="7" fillId="24" borderId="42" xfId="0" applyFont="1" applyFill="1" applyBorder="1"/>
    <xf numFmtId="3" fontId="35" fillId="0" borderId="0" xfId="99" applyNumberFormat="1" applyFont="1" applyAlignment="1">
      <alignment horizontal="center"/>
    </xf>
    <xf numFmtId="5" fontId="35" fillId="0" borderId="0" xfId="105" applyNumberFormat="1" applyFont="1" applyFill="1" applyBorder="1" applyAlignment="1">
      <alignment horizontal="center"/>
    </xf>
    <xf numFmtId="39" fontId="35" fillId="0" borderId="0" xfId="105" applyNumberFormat="1" applyFont="1" applyFill="1" applyBorder="1" applyAlignment="1">
      <alignment horizontal="center"/>
    </xf>
    <xf numFmtId="1" fontId="35" fillId="0" borderId="0" xfId="105" applyNumberFormat="1" applyFont="1" applyFill="1" applyBorder="1" applyAlignment="1">
      <alignment horizontal="center"/>
    </xf>
    <xf numFmtId="5" fontId="38" fillId="0" borderId="27" xfId="99" applyNumberFormat="1" applyFont="1" applyBorder="1" applyAlignment="1">
      <alignment horizontal="center"/>
    </xf>
    <xf numFmtId="164" fontId="6" fillId="0" borderId="36" xfId="0" applyNumberFormat="1" applyFont="1" applyBorder="1"/>
    <xf numFmtId="168" fontId="6" fillId="0" borderId="36" xfId="1" applyNumberFormat="1" applyFont="1" applyFill="1" applyBorder="1"/>
    <xf numFmtId="0" fontId="6" fillId="0" borderId="0" xfId="0" applyFont="1" applyAlignment="1">
      <alignment horizontal="right"/>
    </xf>
    <xf numFmtId="0" fontId="6" fillId="0" borderId="5" xfId="0" applyFont="1" applyBorder="1" applyProtection="1"/>
    <xf numFmtId="164" fontId="6" fillId="0" borderId="5" xfId="0" applyNumberFormat="1" applyFont="1" applyBorder="1" applyProtection="1"/>
    <xf numFmtId="9" fontId="6" fillId="0" borderId="5" xfId="0" applyNumberFormat="1" applyFont="1" applyBorder="1" applyProtection="1"/>
    <xf numFmtId="164" fontId="6" fillId="0" borderId="6" xfId="1" applyNumberFormat="1" applyFont="1" applyFill="1" applyBorder="1" applyProtection="1"/>
    <xf numFmtId="9" fontId="6" fillId="0" borderId="10" xfId="0" applyNumberFormat="1" applyFont="1" applyBorder="1" applyProtection="1"/>
    <xf numFmtId="0" fontId="7" fillId="0" borderId="23" xfId="0" applyFont="1" applyBorder="1" applyAlignment="1" applyProtection="1">
      <alignment vertical="top"/>
    </xf>
    <xf numFmtId="164" fontId="7" fillId="24" borderId="8" xfId="0" applyNumberFormat="1" applyFont="1" applyFill="1" applyBorder="1" applyAlignment="1" applyProtection="1">
      <alignment vertical="top"/>
    </xf>
    <xf numFmtId="164" fontId="7" fillId="24" borderId="57" xfId="0" applyNumberFormat="1" applyFont="1" applyFill="1" applyBorder="1" applyAlignment="1" applyProtection="1">
      <alignment vertical="top"/>
    </xf>
    <xf numFmtId="9" fontId="7" fillId="0" borderId="0" xfId="0" applyNumberFormat="1" applyFont="1" applyAlignment="1" applyProtection="1">
      <alignment vertical="top"/>
    </xf>
    <xf numFmtId="164" fontId="7" fillId="24" borderId="30" xfId="0" applyNumberFormat="1" applyFont="1" applyFill="1" applyBorder="1" applyAlignment="1" applyProtection="1">
      <alignment vertical="top"/>
    </xf>
    <xf numFmtId="0" fontId="6" fillId="0" borderId="51" xfId="0" applyFont="1" applyBorder="1" applyAlignment="1" applyProtection="1">
      <alignment vertical="center"/>
    </xf>
    <xf numFmtId="164" fontId="6" fillId="0" borderId="54" xfId="0" applyNumberFormat="1" applyFont="1" applyBorder="1" applyAlignment="1" applyProtection="1">
      <alignment vertical="center"/>
    </xf>
    <xf numFmtId="164" fontId="6" fillId="0" borderId="55" xfId="0" applyNumberFormat="1" applyFont="1" applyBorder="1" applyAlignment="1" applyProtection="1">
      <alignment vertical="center"/>
    </xf>
    <xf numFmtId="38" fontId="6" fillId="0" borderId="56" xfId="0" applyNumberFormat="1" applyFont="1" applyBorder="1" applyAlignment="1" applyProtection="1">
      <alignment horizontal="right" vertical="center"/>
    </xf>
    <xf numFmtId="0" fontId="7" fillId="0" borderId="52" xfId="0" applyFont="1" applyBorder="1" applyProtection="1"/>
    <xf numFmtId="164" fontId="7" fillId="0" borderId="27" xfId="0" applyNumberFormat="1" applyFont="1" applyBorder="1" applyProtection="1"/>
    <xf numFmtId="164" fontId="7" fillId="0" borderId="1" xfId="0" applyNumberFormat="1" applyFont="1" applyBorder="1" applyProtection="1"/>
    <xf numFmtId="164" fontId="7" fillId="0" borderId="53" xfId="0" applyNumberFormat="1" applyFont="1" applyBorder="1" applyProtection="1"/>
    <xf numFmtId="0" fontId="6" fillId="0" borderId="0" xfId="0" applyFont="1" applyProtection="1"/>
    <xf numFmtId="164" fontId="7" fillId="0" borderId="0" xfId="0" applyNumberFormat="1" applyFont="1" applyProtection="1"/>
    <xf numFmtId="0" fontId="6" fillId="0" borderId="0" xfId="2" applyFont="1" applyProtection="1"/>
    <xf numFmtId="0" fontId="49" fillId="0" borderId="0" xfId="0" applyFont="1" applyFill="1" applyBorder="1"/>
    <xf numFmtId="0" fontId="6" fillId="0" borderId="0" xfId="0" applyFont="1" applyFill="1" applyBorder="1"/>
    <xf numFmtId="0" fontId="5" fillId="0" borderId="2" xfId="0" applyFont="1" applyBorder="1" applyAlignment="1">
      <alignment horizontal="left"/>
    </xf>
    <xf numFmtId="0" fontId="6" fillId="24" borderId="40" xfId="0" applyFont="1" applyFill="1" applyBorder="1" applyAlignment="1">
      <alignment horizontal="left" vertical="top" wrapText="1"/>
    </xf>
  </cellXfs>
  <cellStyles count="107">
    <cellStyle name="20% - Accent1 2" xfId="3" xr:uid="{00000000-0005-0000-0000-000000000000}"/>
    <cellStyle name="20% - Accent2 2" xfId="4" xr:uid="{00000000-0005-0000-0000-000001000000}"/>
    <cellStyle name="20% - Accent3 2" xfId="5" xr:uid="{00000000-0005-0000-0000-000002000000}"/>
    <cellStyle name="20% - Accent4 2" xfId="6" xr:uid="{00000000-0005-0000-0000-000003000000}"/>
    <cellStyle name="20% - Accent5 2" xfId="7" xr:uid="{00000000-0005-0000-0000-000004000000}"/>
    <cellStyle name="20% - Accent6 2" xfId="8" xr:uid="{00000000-0005-0000-0000-000005000000}"/>
    <cellStyle name="40% - Accent1 2" xfId="9" xr:uid="{00000000-0005-0000-0000-000006000000}"/>
    <cellStyle name="40% - Accent2 2" xfId="10" xr:uid="{00000000-0005-0000-0000-000007000000}"/>
    <cellStyle name="40% - Accent3 2" xfId="11" xr:uid="{00000000-0005-0000-0000-000008000000}"/>
    <cellStyle name="40% - Accent4 2" xfId="12" xr:uid="{00000000-0005-0000-0000-000009000000}"/>
    <cellStyle name="40% - Accent5 2" xfId="13" xr:uid="{00000000-0005-0000-0000-00000A000000}"/>
    <cellStyle name="40% - Accent6 2" xfId="14" xr:uid="{00000000-0005-0000-0000-00000B000000}"/>
    <cellStyle name="60% - Accent1 2" xfId="15" xr:uid="{00000000-0005-0000-0000-00000C000000}"/>
    <cellStyle name="60% - Accent2 2" xfId="16" xr:uid="{00000000-0005-0000-0000-00000D000000}"/>
    <cellStyle name="60% - Accent3 2" xfId="17" xr:uid="{00000000-0005-0000-0000-00000E000000}"/>
    <cellStyle name="60% - Accent4 2" xfId="18" xr:uid="{00000000-0005-0000-0000-00000F000000}"/>
    <cellStyle name="60% - Accent5 2" xfId="19" xr:uid="{00000000-0005-0000-0000-000010000000}"/>
    <cellStyle name="60% - Accent6 2" xfId="20" xr:uid="{00000000-0005-0000-0000-000011000000}"/>
    <cellStyle name="Accent1 2" xfId="21" xr:uid="{00000000-0005-0000-0000-000012000000}"/>
    <cellStyle name="Accent2 2" xfId="22" xr:uid="{00000000-0005-0000-0000-000013000000}"/>
    <cellStyle name="Accent3 2" xfId="23" xr:uid="{00000000-0005-0000-0000-000014000000}"/>
    <cellStyle name="Accent4 2" xfId="24" xr:uid="{00000000-0005-0000-0000-000015000000}"/>
    <cellStyle name="Accent5 2" xfId="25" xr:uid="{00000000-0005-0000-0000-000016000000}"/>
    <cellStyle name="Accent6 2" xfId="26" xr:uid="{00000000-0005-0000-0000-000017000000}"/>
    <cellStyle name="Bad 2" xfId="27" xr:uid="{00000000-0005-0000-0000-000018000000}"/>
    <cellStyle name="Calculation 2" xfId="28" xr:uid="{00000000-0005-0000-0000-000019000000}"/>
    <cellStyle name="Check Cell 2" xfId="29" xr:uid="{00000000-0005-0000-0000-00001A000000}"/>
    <cellStyle name="Column Headings" xfId="30" xr:uid="{00000000-0005-0000-0000-00001B000000}"/>
    <cellStyle name="Comma" xfId="105" builtinId="3"/>
    <cellStyle name="Comma 2" xfId="31" xr:uid="{00000000-0005-0000-0000-00001D000000}"/>
    <cellStyle name="Comma 2 2" xfId="32" xr:uid="{00000000-0005-0000-0000-00001E000000}"/>
    <cellStyle name="Comma 2 2 2" xfId="33" xr:uid="{00000000-0005-0000-0000-00001F000000}"/>
    <cellStyle name="Comma 2 3" xfId="34" xr:uid="{00000000-0005-0000-0000-000020000000}"/>
    <cellStyle name="Comma 3" xfId="35" xr:uid="{00000000-0005-0000-0000-000021000000}"/>
    <cellStyle name="Comma 3 2" xfId="36" xr:uid="{00000000-0005-0000-0000-000022000000}"/>
    <cellStyle name="Comma 4" xfId="37" xr:uid="{00000000-0005-0000-0000-000023000000}"/>
    <cellStyle name="Comma 5" xfId="101" xr:uid="{00000000-0005-0000-0000-000024000000}"/>
    <cellStyle name="Comma0" xfId="38" xr:uid="{00000000-0005-0000-0000-000025000000}"/>
    <cellStyle name="Comma0 2" xfId="39" xr:uid="{00000000-0005-0000-0000-000026000000}"/>
    <cellStyle name="Comma0 3" xfId="40" xr:uid="{00000000-0005-0000-0000-000027000000}"/>
    <cellStyle name="Currency" xfId="100" builtinId="4"/>
    <cellStyle name="Currency 2" xfId="41" xr:uid="{00000000-0005-0000-0000-000029000000}"/>
    <cellStyle name="Currency 2 2" xfId="42" xr:uid="{00000000-0005-0000-0000-00002A000000}"/>
    <cellStyle name="Currency 2 2 2" xfId="43" xr:uid="{00000000-0005-0000-0000-00002B000000}"/>
    <cellStyle name="Currency 3" xfId="44" xr:uid="{00000000-0005-0000-0000-00002C000000}"/>
    <cellStyle name="Currency 4" xfId="45" xr:uid="{00000000-0005-0000-0000-00002D000000}"/>
    <cellStyle name="Currency 5" xfId="98" xr:uid="{00000000-0005-0000-0000-00002E000000}"/>
    <cellStyle name="Currency 6" xfId="102" xr:uid="{00000000-0005-0000-0000-00002F000000}"/>
    <cellStyle name="Currency0" xfId="46" xr:uid="{00000000-0005-0000-0000-000030000000}"/>
    <cellStyle name="Currency0 2" xfId="47" xr:uid="{00000000-0005-0000-0000-000031000000}"/>
    <cellStyle name="Currency0 3" xfId="48" xr:uid="{00000000-0005-0000-0000-000032000000}"/>
    <cellStyle name="Euro" xfId="49" xr:uid="{00000000-0005-0000-0000-000033000000}"/>
    <cellStyle name="Explanatory Text 2" xfId="50" xr:uid="{00000000-0005-0000-0000-000034000000}"/>
    <cellStyle name="Good 2" xfId="51" xr:uid="{00000000-0005-0000-0000-000035000000}"/>
    <cellStyle name="Heading 1 2" xfId="52" xr:uid="{00000000-0005-0000-0000-000036000000}"/>
    <cellStyle name="Heading 2 2" xfId="53" xr:uid="{00000000-0005-0000-0000-000037000000}"/>
    <cellStyle name="Heading 3 2" xfId="54" xr:uid="{00000000-0005-0000-0000-000038000000}"/>
    <cellStyle name="Heading 4 2" xfId="55" xr:uid="{00000000-0005-0000-0000-000039000000}"/>
    <cellStyle name="Hyperlink" xfId="106" builtinId="8"/>
    <cellStyle name="IndentItalics" xfId="56" xr:uid="{00000000-0005-0000-0000-00003A000000}"/>
    <cellStyle name="Input 2" xfId="57" xr:uid="{00000000-0005-0000-0000-00003B000000}"/>
    <cellStyle name="Linked Cell 2" xfId="58" xr:uid="{00000000-0005-0000-0000-00003C000000}"/>
    <cellStyle name="Neutral 2" xfId="59" xr:uid="{00000000-0005-0000-0000-00003D000000}"/>
    <cellStyle name="Normal" xfId="0" builtinId="0"/>
    <cellStyle name="Normal 10" xfId="60" xr:uid="{00000000-0005-0000-0000-00003F000000}"/>
    <cellStyle name="Normal 11" xfId="104" xr:uid="{00000000-0005-0000-0000-000040000000}"/>
    <cellStyle name="Normal 2" xfId="61" xr:uid="{00000000-0005-0000-0000-000041000000}"/>
    <cellStyle name="Normal 2 2" xfId="62" xr:uid="{00000000-0005-0000-0000-000042000000}"/>
    <cellStyle name="Normal 2 3" xfId="63" xr:uid="{00000000-0005-0000-0000-000043000000}"/>
    <cellStyle name="Normal 2 4" xfId="64" xr:uid="{00000000-0005-0000-0000-000044000000}"/>
    <cellStyle name="Normal 2 5" xfId="65" xr:uid="{00000000-0005-0000-0000-000045000000}"/>
    <cellStyle name="Normal 2 6" xfId="66" xr:uid="{00000000-0005-0000-0000-000046000000}"/>
    <cellStyle name="Normal 2 7" xfId="99" xr:uid="{00000000-0005-0000-0000-000047000000}"/>
    <cellStyle name="Normal 3" xfId="67" xr:uid="{00000000-0005-0000-0000-000048000000}"/>
    <cellStyle name="Normal 3 2" xfId="68" xr:uid="{00000000-0005-0000-0000-000049000000}"/>
    <cellStyle name="Normal 3 2 2" xfId="69" xr:uid="{00000000-0005-0000-0000-00004A000000}"/>
    <cellStyle name="Normal 4" xfId="70" xr:uid="{00000000-0005-0000-0000-00004B000000}"/>
    <cellStyle name="Normal 4 2" xfId="71" xr:uid="{00000000-0005-0000-0000-00004C000000}"/>
    <cellStyle name="Normal 5" xfId="72" xr:uid="{00000000-0005-0000-0000-00004D000000}"/>
    <cellStyle name="Normal 6" xfId="73" xr:uid="{00000000-0005-0000-0000-00004E000000}"/>
    <cellStyle name="Normal 7" xfId="2" xr:uid="{00000000-0005-0000-0000-00004F000000}"/>
    <cellStyle name="Normal 8" xfId="74" xr:uid="{00000000-0005-0000-0000-000050000000}"/>
    <cellStyle name="Normal 8 2" xfId="75" xr:uid="{00000000-0005-0000-0000-000051000000}"/>
    <cellStyle name="Normal 9" xfId="76" xr:uid="{00000000-0005-0000-0000-000052000000}"/>
    <cellStyle name="Note 2" xfId="77" xr:uid="{00000000-0005-0000-0000-000053000000}"/>
    <cellStyle name="Output 2" xfId="78" xr:uid="{00000000-0005-0000-0000-000054000000}"/>
    <cellStyle name="Percent" xfId="1" builtinId="5"/>
    <cellStyle name="Percent 2" xfId="79" xr:uid="{00000000-0005-0000-0000-000056000000}"/>
    <cellStyle name="Percent 2 2" xfId="80" xr:uid="{00000000-0005-0000-0000-000057000000}"/>
    <cellStyle name="Percent 2 2 2" xfId="81" xr:uid="{00000000-0005-0000-0000-000058000000}"/>
    <cellStyle name="Percent 3" xfId="82" xr:uid="{00000000-0005-0000-0000-000059000000}"/>
    <cellStyle name="Percent 3 2" xfId="83" xr:uid="{00000000-0005-0000-0000-00005A000000}"/>
    <cellStyle name="Percent 4" xfId="84" xr:uid="{00000000-0005-0000-0000-00005B000000}"/>
    <cellStyle name="Percent 4 2" xfId="85" xr:uid="{00000000-0005-0000-0000-00005C000000}"/>
    <cellStyle name="Percent 5" xfId="103" xr:uid="{00000000-0005-0000-0000-00005D000000}"/>
    <cellStyle name="TableCenter" xfId="86" xr:uid="{00000000-0005-0000-0000-00005E000000}"/>
    <cellStyle name="TableFooter" xfId="87" xr:uid="{00000000-0005-0000-0000-00005F000000}"/>
    <cellStyle name="TableIndent" xfId="88" xr:uid="{00000000-0005-0000-0000-000060000000}"/>
    <cellStyle name="TableText" xfId="89" xr:uid="{00000000-0005-0000-0000-000061000000}"/>
    <cellStyle name="TableTitle" xfId="90" xr:uid="{00000000-0005-0000-0000-000062000000}"/>
    <cellStyle name="Title 2" xfId="91" xr:uid="{00000000-0005-0000-0000-000063000000}"/>
    <cellStyle name="Total 2" xfId="92" xr:uid="{00000000-0005-0000-0000-000064000000}"/>
    <cellStyle name="Total 2 2" xfId="93" xr:uid="{00000000-0005-0000-0000-000065000000}"/>
    <cellStyle name="Total 2 3" xfId="94" xr:uid="{00000000-0005-0000-0000-000066000000}"/>
    <cellStyle name="Total 3" xfId="95" xr:uid="{00000000-0005-0000-0000-000067000000}"/>
    <cellStyle name="Warning Text 2" xfId="96" xr:uid="{00000000-0005-0000-0000-000068000000}"/>
    <cellStyle name="Year" xfId="97" xr:uid="{00000000-0005-0000-0000-000069000000}"/>
  </cellStyles>
  <dxfs count="0"/>
  <tableStyles count="1" defaultTableStyle="TableStyleMedium2" defaultPivotStyle="PivotStyleLight16">
    <tableStyle name="Invisible" pivot="0" table="0" count="0" xr9:uid="{FBD20ACE-B9CD-412A-B178-A8632FBBD929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ric Halvorsen" id="{89089FF4-E518-40A9-A2F4-42792741E595}" userId="S::ehalvorsen@rkgassociates.com::48405f50-8a0e-45bc-b98d-73f1b7c7d07a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8" dT="2024-08-30T19:36:01.37" personId="{89089FF4-E518-40A9-A2F4-42792741E595}" id="{EF375BD7-D2C6-495C-A606-25464CC0EB92}">
    <text>Calculated by taking hotel rooms X 500 SF per key for gross SQFT of hotel. Then divide Gross SF of hotel by 2,300 SF per employee.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B2:M21"/>
  <sheetViews>
    <sheetView zoomScale="140" zoomScaleNormal="140" workbookViewId="0">
      <selection activeCell="G10" sqref="G10"/>
    </sheetView>
  </sheetViews>
  <sheetFormatPr defaultColWidth="9.140625" defaultRowHeight="12.75"/>
  <cols>
    <col min="1" max="1" width="9.140625" style="21"/>
    <col min="2" max="2" width="21.7109375" style="21" customWidth="1"/>
    <col min="3" max="3" width="15" style="36" customWidth="1"/>
    <col min="4" max="4" width="15.140625" style="36" customWidth="1"/>
    <col min="5" max="5" width="19.140625" style="21" customWidth="1"/>
    <col min="6" max="6" width="15" style="21" customWidth="1"/>
    <col min="7" max="8" width="20.42578125" style="21" customWidth="1"/>
    <col min="9" max="9" width="24.42578125" style="21" customWidth="1"/>
    <col min="10" max="11" width="9.140625" style="21"/>
    <col min="12" max="12" width="15.28515625" style="21" bestFit="1" customWidth="1"/>
    <col min="13" max="16384" width="9.140625" style="21"/>
  </cols>
  <sheetData>
    <row r="2" spans="2:13" ht="14.25">
      <c r="B2" s="20" t="s">
        <v>90</v>
      </c>
      <c r="F2" s="20" t="s">
        <v>91</v>
      </c>
      <c r="G2" s="36"/>
      <c r="H2" s="36"/>
    </row>
    <row r="3" spans="2:13" ht="14.25">
      <c r="B3" s="20" t="s">
        <v>83</v>
      </c>
      <c r="F3" s="20" t="s">
        <v>84</v>
      </c>
      <c r="G3" s="36"/>
      <c r="H3" s="36"/>
    </row>
    <row r="4" spans="2:13" ht="15" thickBot="1">
      <c r="B4" s="31" t="s">
        <v>76</v>
      </c>
      <c r="C4" s="53"/>
      <c r="F4" s="31" t="s">
        <v>76</v>
      </c>
      <c r="G4" s="53"/>
      <c r="H4" s="36"/>
    </row>
    <row r="5" spans="2:13" ht="25.5">
      <c r="B5" s="39" t="s">
        <v>15</v>
      </c>
      <c r="C5" s="168" t="s">
        <v>136</v>
      </c>
      <c r="D5" s="168" t="s">
        <v>137</v>
      </c>
      <c r="F5" s="39" t="s">
        <v>15</v>
      </c>
      <c r="G5" s="168" t="s">
        <v>138</v>
      </c>
      <c r="H5" s="168" t="s">
        <v>140</v>
      </c>
      <c r="I5" s="168" t="s">
        <v>139</v>
      </c>
    </row>
    <row r="6" spans="2:13">
      <c r="B6" s="110" t="s">
        <v>36</v>
      </c>
      <c r="C6" s="116">
        <f>SUM(C7:C12)</f>
        <v>131</v>
      </c>
      <c r="D6" s="116">
        <f>SUM(D7:D12)</f>
        <v>124.44999999999999</v>
      </c>
      <c r="F6" s="118" t="s">
        <v>85</v>
      </c>
      <c r="G6" s="174">
        <v>97004</v>
      </c>
      <c r="H6" s="171">
        <v>0.9</v>
      </c>
      <c r="I6" s="157">
        <f>G6*H6</f>
        <v>87303.6</v>
      </c>
    </row>
    <row r="7" spans="2:13" ht="14.25">
      <c r="B7" s="89" t="s">
        <v>72</v>
      </c>
      <c r="C7" s="72">
        <v>59</v>
      </c>
      <c r="D7" s="72">
        <f>C7*0.95</f>
        <v>56.05</v>
      </c>
      <c r="F7" s="37" t="s">
        <v>177</v>
      </c>
      <c r="G7" s="175">
        <v>141438</v>
      </c>
      <c r="H7" s="172">
        <v>0.82</v>
      </c>
      <c r="I7" s="157">
        <f t="shared" ref="I7:I10" si="0">G7*H7</f>
        <v>115979.15999999999</v>
      </c>
      <c r="L7" s="83"/>
    </row>
    <row r="8" spans="2:13">
      <c r="B8" s="37" t="s">
        <v>57</v>
      </c>
      <c r="C8" s="72">
        <v>59</v>
      </c>
      <c r="D8" s="72">
        <f t="shared" ref="D8:D12" si="1">C8*0.95</f>
        <v>56.05</v>
      </c>
      <c r="F8" s="37" t="s">
        <v>87</v>
      </c>
      <c r="G8" s="175">
        <v>0</v>
      </c>
      <c r="H8" s="172">
        <v>0.68</v>
      </c>
      <c r="I8" s="157">
        <f t="shared" si="0"/>
        <v>0</v>
      </c>
      <c r="L8" s="84"/>
      <c r="M8" s="84"/>
    </row>
    <row r="9" spans="2:13">
      <c r="B9" s="37" t="s">
        <v>58</v>
      </c>
      <c r="C9" s="72">
        <v>13</v>
      </c>
      <c r="D9" s="72">
        <f t="shared" si="1"/>
        <v>12.35</v>
      </c>
      <c r="F9" s="37" t="s">
        <v>88</v>
      </c>
      <c r="G9" s="175">
        <v>143</v>
      </c>
      <c r="H9" s="172">
        <v>1</v>
      </c>
      <c r="I9" s="157">
        <f t="shared" si="0"/>
        <v>143</v>
      </c>
      <c r="L9" s="84"/>
      <c r="M9" s="84"/>
    </row>
    <row r="10" spans="2:13">
      <c r="B10" s="89" t="s">
        <v>59</v>
      </c>
      <c r="C10" s="72">
        <v>0</v>
      </c>
      <c r="D10" s="72">
        <f t="shared" si="1"/>
        <v>0</v>
      </c>
      <c r="F10" s="38" t="s">
        <v>89</v>
      </c>
      <c r="G10" s="162">
        <v>0</v>
      </c>
      <c r="H10" s="173">
        <v>0.94</v>
      </c>
      <c r="I10" s="159">
        <f t="shared" si="0"/>
        <v>0</v>
      </c>
      <c r="L10" s="84"/>
      <c r="M10" s="84"/>
    </row>
    <row r="11" spans="2:13" ht="13.5" thickBot="1">
      <c r="B11" s="89" t="s">
        <v>48</v>
      </c>
      <c r="C11" s="61">
        <v>0</v>
      </c>
      <c r="D11" s="72">
        <f t="shared" si="1"/>
        <v>0</v>
      </c>
      <c r="F11" s="111" t="s">
        <v>12</v>
      </c>
      <c r="G11" s="158">
        <f>SUM(G6:G10)</f>
        <v>238585</v>
      </c>
      <c r="H11" s="158"/>
      <c r="I11" s="158">
        <f>SUM(I6:I10)</f>
        <v>203425.76</v>
      </c>
      <c r="L11" s="84"/>
      <c r="M11" s="84"/>
    </row>
    <row r="12" spans="2:13" ht="13.5" thickTop="1">
      <c r="B12" s="89" t="s">
        <v>53</v>
      </c>
      <c r="C12" s="61">
        <v>0</v>
      </c>
      <c r="D12" s="72">
        <f t="shared" si="1"/>
        <v>0</v>
      </c>
      <c r="F12" s="21" t="s">
        <v>77</v>
      </c>
      <c r="G12" s="36"/>
      <c r="H12" s="36"/>
      <c r="I12" s="86"/>
      <c r="L12" s="87"/>
    </row>
    <row r="13" spans="2:13">
      <c r="B13" s="110" t="s">
        <v>37</v>
      </c>
      <c r="C13" s="116">
        <f>SUM(C14:C19)</f>
        <v>23</v>
      </c>
      <c r="D13" s="116">
        <f>SUM(D14:D19)</f>
        <v>21.85</v>
      </c>
      <c r="G13" s="85"/>
      <c r="H13" s="85"/>
      <c r="I13" s="86"/>
    </row>
    <row r="14" spans="2:13">
      <c r="B14" s="89" t="s">
        <v>72</v>
      </c>
      <c r="C14" s="72">
        <v>10</v>
      </c>
      <c r="D14" s="72">
        <f>C14*0.95</f>
        <v>9.5</v>
      </c>
      <c r="G14" s="85"/>
      <c r="H14" s="85"/>
      <c r="I14" s="86"/>
    </row>
    <row r="15" spans="2:13">
      <c r="B15" s="37" t="s">
        <v>57</v>
      </c>
      <c r="C15" s="72">
        <v>10</v>
      </c>
      <c r="D15" s="72">
        <f t="shared" ref="D15:D19" si="2">C15*0.95</f>
        <v>9.5</v>
      </c>
      <c r="G15" s="85"/>
      <c r="H15" s="85"/>
      <c r="I15" s="86"/>
    </row>
    <row r="16" spans="2:13">
      <c r="B16" s="37" t="s">
        <v>58</v>
      </c>
      <c r="C16" s="72">
        <v>3</v>
      </c>
      <c r="D16" s="72">
        <f t="shared" si="2"/>
        <v>2.8499999999999996</v>
      </c>
      <c r="I16" s="86"/>
    </row>
    <row r="17" spans="2:9">
      <c r="B17" s="89" t="s">
        <v>59</v>
      </c>
      <c r="C17" s="72">
        <v>0</v>
      </c>
      <c r="D17" s="72">
        <f t="shared" si="2"/>
        <v>0</v>
      </c>
      <c r="I17" s="86"/>
    </row>
    <row r="18" spans="2:9">
      <c r="B18" s="89" t="s">
        <v>48</v>
      </c>
      <c r="C18" s="61">
        <v>0</v>
      </c>
      <c r="D18" s="72">
        <f t="shared" si="2"/>
        <v>0</v>
      </c>
      <c r="G18" s="85"/>
      <c r="H18" s="85"/>
      <c r="I18" s="86"/>
    </row>
    <row r="19" spans="2:9">
      <c r="B19" s="92" t="s">
        <v>53</v>
      </c>
      <c r="C19" s="88">
        <v>0</v>
      </c>
      <c r="D19" s="169">
        <f t="shared" si="2"/>
        <v>0</v>
      </c>
    </row>
    <row r="20" spans="2:9" ht="13.5" thickBot="1">
      <c r="B20" s="111" t="s">
        <v>12</v>
      </c>
      <c r="C20" s="117">
        <f>SUM(C7:C12,C14:C19)</f>
        <v>154</v>
      </c>
      <c r="D20" s="117">
        <f>SUM(D7:D12,D14:D19)</f>
        <v>146.29999999999998</v>
      </c>
    </row>
    <row r="21" spans="2:9" ht="13.5" thickTop="1">
      <c r="B21" s="21" t="s">
        <v>77</v>
      </c>
    </row>
  </sheetData>
  <pageMargins left="0.7" right="0.7" top="0.75" bottom="0.75" header="0.3" footer="0.3"/>
  <pageSetup orientation="portrait" r:id="rId1"/>
  <ignoredErrors>
    <ignoredError sqref="D13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1CC6AA-CDE2-4031-BBC7-3D6253818A46}">
  <sheetPr>
    <tabColor rgb="FF00B050"/>
  </sheetPr>
  <dimension ref="E6:F16"/>
  <sheetViews>
    <sheetView zoomScale="160" zoomScaleNormal="160" workbookViewId="0">
      <selection activeCell="E9" sqref="E9:F16"/>
    </sheetView>
  </sheetViews>
  <sheetFormatPr defaultColWidth="9.140625" defaultRowHeight="12.75"/>
  <cols>
    <col min="1" max="4" width="9.140625" style="190"/>
    <col min="5" max="5" width="43" style="190" bestFit="1" customWidth="1"/>
    <col min="6" max="6" width="14.42578125" style="190" customWidth="1"/>
    <col min="7" max="16384" width="9.140625" style="190"/>
  </cols>
  <sheetData>
    <row r="6" spans="5:6" ht="14.25">
      <c r="E6" s="191" t="s">
        <v>29</v>
      </c>
      <c r="F6" s="77"/>
    </row>
    <row r="7" spans="5:6" ht="14.25">
      <c r="E7" s="191" t="s">
        <v>144</v>
      </c>
      <c r="F7" s="77"/>
    </row>
    <row r="8" spans="5:6" ht="15" thickBot="1">
      <c r="E8" s="31" t="s">
        <v>76</v>
      </c>
      <c r="F8" s="192"/>
    </row>
    <row r="9" spans="5:6">
      <c r="E9" s="77" t="s">
        <v>145</v>
      </c>
      <c r="F9" s="193">
        <f>Project!I9</f>
        <v>143</v>
      </c>
    </row>
    <row r="10" spans="5:6">
      <c r="E10" s="77" t="s">
        <v>146</v>
      </c>
      <c r="F10" s="199">
        <v>0.74</v>
      </c>
    </row>
    <row r="11" spans="5:6">
      <c r="E11" s="77" t="s">
        <v>147</v>
      </c>
      <c r="F11" s="198">
        <v>228</v>
      </c>
    </row>
    <row r="12" spans="5:6">
      <c r="E12" s="77" t="s">
        <v>148</v>
      </c>
      <c r="F12" s="197">
        <v>365</v>
      </c>
    </row>
    <row r="13" spans="5:6">
      <c r="E13" s="77" t="s">
        <v>150</v>
      </c>
      <c r="F13" s="201">
        <f>(((F9*F10)*F11)*F12)</f>
        <v>8806340.4000000004</v>
      </c>
    </row>
    <row r="14" spans="5:6">
      <c r="E14" s="77" t="s">
        <v>152</v>
      </c>
      <c r="F14" s="200">
        <v>0.06</v>
      </c>
    </row>
    <row r="15" spans="5:6" ht="13.5" thickBot="1">
      <c r="E15" s="194" t="s">
        <v>151</v>
      </c>
      <c r="F15" s="195">
        <f>F13*F14</f>
        <v>528380.424</v>
      </c>
    </row>
    <row r="16" spans="5:6">
      <c r="E16" s="196" t="s">
        <v>149</v>
      </c>
      <c r="F16" s="7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B2:G11"/>
  <sheetViews>
    <sheetView zoomScale="160" zoomScaleNormal="160" workbookViewId="0">
      <selection activeCell="B5" sqref="B5:C11"/>
    </sheetView>
  </sheetViews>
  <sheetFormatPr defaultColWidth="9.140625" defaultRowHeight="12.75"/>
  <cols>
    <col min="1" max="1" width="9.140625" style="21"/>
    <col min="2" max="2" width="35.28515625" style="21" customWidth="1"/>
    <col min="3" max="3" width="13.42578125" style="21" customWidth="1"/>
    <col min="4" max="5" width="9.140625" style="21"/>
    <col min="6" max="6" width="22.85546875" style="21" bestFit="1" customWidth="1"/>
    <col min="7" max="7" width="19.42578125" style="21" customWidth="1"/>
    <col min="8" max="16384" width="9.140625" style="21"/>
  </cols>
  <sheetData>
    <row r="2" spans="2:7" ht="14.25">
      <c r="B2" s="20" t="s">
        <v>31</v>
      </c>
    </row>
    <row r="3" spans="2:7" ht="14.25">
      <c r="B3" s="20" t="s">
        <v>34</v>
      </c>
    </row>
    <row r="4" spans="2:7" ht="15" thickBot="1">
      <c r="B4" s="31" t="s">
        <v>76</v>
      </c>
      <c r="C4" s="32"/>
      <c r="F4" s="84"/>
      <c r="G4" s="84"/>
    </row>
    <row r="5" spans="2:7">
      <c r="B5" s="153" t="s">
        <v>123</v>
      </c>
      <c r="C5" s="152">
        <f>Project!G6/200</f>
        <v>485.02</v>
      </c>
    </row>
    <row r="6" spans="2:7">
      <c r="B6" s="154" t="s">
        <v>128</v>
      </c>
      <c r="C6" s="163">
        <f>Project!G7/200</f>
        <v>707.19</v>
      </c>
    </row>
    <row r="7" spans="2:7">
      <c r="B7" s="154" t="s">
        <v>124</v>
      </c>
      <c r="C7" s="163">
        <f>Project!G8/200</f>
        <v>0</v>
      </c>
    </row>
    <row r="8" spans="2:7">
      <c r="B8" s="154" t="s">
        <v>125</v>
      </c>
      <c r="C8" s="166">
        <f>(Project!G9*500)/2300</f>
        <v>31.086956521739129</v>
      </c>
      <c r="F8" s="167"/>
      <c r="G8" s="102"/>
    </row>
    <row r="9" spans="2:7">
      <c r="B9" s="156" t="s">
        <v>126</v>
      </c>
      <c r="C9" s="164">
        <f>Project!G10/750</f>
        <v>0</v>
      </c>
    </row>
    <row r="10" spans="2:7" ht="15" customHeight="1">
      <c r="B10" s="155" t="s">
        <v>127</v>
      </c>
      <c r="C10" s="165">
        <f>SUM(C5:C9)</f>
        <v>1223.2969565217393</v>
      </c>
    </row>
    <row r="11" spans="2:7">
      <c r="B11" s="21" t="s">
        <v>30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B2:J32"/>
  <sheetViews>
    <sheetView showGridLines="0" topLeftCell="A3" zoomScale="150" zoomScaleNormal="150" workbookViewId="0">
      <selection activeCell="C23" sqref="C23:D26"/>
    </sheetView>
  </sheetViews>
  <sheetFormatPr defaultColWidth="9.140625" defaultRowHeight="12.75"/>
  <cols>
    <col min="1" max="1" width="9.140625" style="2"/>
    <col min="2" max="2" width="17.28515625" style="2" customWidth="1"/>
    <col min="3" max="3" width="15.28515625" style="2" bestFit="1" customWidth="1"/>
    <col min="4" max="4" width="13.42578125" style="2" customWidth="1"/>
    <col min="5" max="5" width="12.140625" style="2" customWidth="1"/>
    <col min="6" max="6" width="14.140625" style="2" customWidth="1"/>
    <col min="7" max="7" width="10.28515625" style="2" customWidth="1"/>
    <col min="8" max="8" width="11.140625" style="2" customWidth="1"/>
    <col min="9" max="9" width="10.7109375" style="2" customWidth="1"/>
    <col min="10" max="16384" width="9.140625" style="2"/>
  </cols>
  <sheetData>
    <row r="2" spans="2:10" ht="14.25">
      <c r="B2" s="1" t="s">
        <v>17</v>
      </c>
    </row>
    <row r="3" spans="2:10" ht="14.25">
      <c r="B3" s="1" t="s">
        <v>14</v>
      </c>
    </row>
    <row r="4" spans="2:10" ht="15" thickBot="1">
      <c r="B4" s="31" t="s">
        <v>76</v>
      </c>
      <c r="C4" s="3"/>
      <c r="D4" s="45"/>
      <c r="E4" s="3"/>
      <c r="F4" s="3"/>
      <c r="G4" s="3"/>
    </row>
    <row r="5" spans="2:10" ht="38.25">
      <c r="B5" s="132" t="s">
        <v>0</v>
      </c>
      <c r="C5" s="44" t="s">
        <v>155</v>
      </c>
      <c r="D5" s="44" t="s">
        <v>74</v>
      </c>
      <c r="E5" s="44" t="s">
        <v>118</v>
      </c>
      <c r="F5" s="44" t="s">
        <v>161</v>
      </c>
      <c r="G5" s="4" t="s">
        <v>116</v>
      </c>
    </row>
    <row r="6" spans="2:10">
      <c r="B6" s="252" t="s">
        <v>32</v>
      </c>
      <c r="C6" s="253">
        <v>17726872.689999998</v>
      </c>
      <c r="D6" s="253">
        <v>120860</v>
      </c>
      <c r="E6" s="254">
        <f>D6/C6</f>
        <v>6.8178974438158511E-3</v>
      </c>
      <c r="F6" s="253">
        <f>D6*0.946</f>
        <v>114333.56</v>
      </c>
      <c r="G6" s="255">
        <f>F6/$G$12</f>
        <v>10.506667891931629</v>
      </c>
      <c r="H6" s="9"/>
      <c r="I6" s="9"/>
      <c r="J6" s="115"/>
    </row>
    <row r="7" spans="2:10">
      <c r="B7" s="252" t="s">
        <v>49</v>
      </c>
      <c r="C7" s="253">
        <v>6610701.4099999983</v>
      </c>
      <c r="D7" s="253">
        <v>5353301.3399999989</v>
      </c>
      <c r="E7" s="254">
        <f t="shared" ref="E7:E10" si="0">D7/C7</f>
        <v>0.80979324401221142</v>
      </c>
      <c r="F7" s="253">
        <f t="shared" ref="F7:F10" si="1">D7*0.946</f>
        <v>5064223.0676399991</v>
      </c>
      <c r="G7" s="255">
        <f t="shared" ref="G7:G10" si="2">F7/$G$12</f>
        <v>465.37613192795436</v>
      </c>
      <c r="H7" s="6"/>
      <c r="I7" s="9"/>
      <c r="J7" s="115"/>
    </row>
    <row r="8" spans="2:10">
      <c r="B8" s="252" t="s">
        <v>50</v>
      </c>
      <c r="C8" s="253">
        <v>7848149.209999999</v>
      </c>
      <c r="D8" s="253">
        <v>3881366.44</v>
      </c>
      <c r="E8" s="254">
        <f t="shared" si="0"/>
        <v>0.49455818641348187</v>
      </c>
      <c r="F8" s="253">
        <f t="shared" si="1"/>
        <v>3671772.6522399997</v>
      </c>
      <c r="G8" s="255">
        <f t="shared" si="2"/>
        <v>337.41707886785514</v>
      </c>
      <c r="H8" s="6"/>
      <c r="I8" s="9"/>
      <c r="J8" s="115"/>
    </row>
    <row r="9" spans="2:10">
      <c r="B9" s="252" t="s">
        <v>51</v>
      </c>
      <c r="C9" s="253">
        <v>8689142.0599999987</v>
      </c>
      <c r="D9" s="253">
        <v>0</v>
      </c>
      <c r="E9" s="254">
        <f t="shared" si="0"/>
        <v>0</v>
      </c>
      <c r="F9" s="253">
        <f t="shared" si="1"/>
        <v>0</v>
      </c>
      <c r="G9" s="255">
        <f t="shared" si="2"/>
        <v>0</v>
      </c>
      <c r="H9" s="6"/>
      <c r="I9" s="9"/>
      <c r="J9" s="115"/>
    </row>
    <row r="10" spans="2:10">
      <c r="B10" s="252" t="s">
        <v>156</v>
      </c>
      <c r="C10" s="253">
        <v>48709455.704047784</v>
      </c>
      <c r="D10" s="253">
        <v>1917071.2047459995</v>
      </c>
      <c r="E10" s="256">
        <f t="shared" si="0"/>
        <v>3.9357270103650324E-2</v>
      </c>
      <c r="F10" s="253">
        <f t="shared" si="1"/>
        <v>1813549.3596897156</v>
      </c>
      <c r="G10" s="255">
        <f t="shared" si="2"/>
        <v>166.65588675700383</v>
      </c>
      <c r="H10" s="6"/>
      <c r="I10" s="9"/>
      <c r="J10" s="115"/>
    </row>
    <row r="11" spans="2:10" ht="18.75" customHeight="1">
      <c r="B11" s="257" t="s">
        <v>1</v>
      </c>
      <c r="C11" s="258">
        <f>SUM(C6:C10)</f>
        <v>89584321.074047774</v>
      </c>
      <c r="D11" s="259">
        <f>SUM(D6:D10)</f>
        <v>11272598.984745998</v>
      </c>
      <c r="E11" s="260">
        <f t="shared" ref="E11" si="3">D11/C11</f>
        <v>0.12583227566605543</v>
      </c>
      <c r="F11" s="258">
        <f>SUM(F6:F10)</f>
        <v>10663878.639569715</v>
      </c>
      <c r="G11" s="261">
        <f>SUM(G6:G10)</f>
        <v>979.95576544474488</v>
      </c>
      <c r="H11" s="6"/>
      <c r="I11" s="9"/>
      <c r="J11" s="115"/>
    </row>
    <row r="12" spans="2:10" ht="15" customHeight="1">
      <c r="B12" s="262" t="s">
        <v>157</v>
      </c>
      <c r="C12" s="263"/>
      <c r="D12" s="264"/>
      <c r="E12" s="264"/>
      <c r="F12" s="264"/>
      <c r="G12" s="265">
        <v>10882</v>
      </c>
      <c r="H12" s="6"/>
    </row>
    <row r="13" spans="2:10" ht="19.5" customHeight="1" thickBot="1">
      <c r="B13" s="266" t="s">
        <v>117</v>
      </c>
      <c r="C13" s="267"/>
      <c r="D13" s="267"/>
      <c r="E13" s="268"/>
      <c r="F13" s="267"/>
      <c r="G13" s="269">
        <f>G11</f>
        <v>979.95576544474488</v>
      </c>
      <c r="H13" s="6"/>
    </row>
    <row r="14" spans="2:10">
      <c r="B14" s="270" t="s">
        <v>175</v>
      </c>
      <c r="C14" s="271"/>
      <c r="D14" s="271"/>
      <c r="E14" s="271"/>
      <c r="F14" s="271"/>
      <c r="G14" s="271"/>
      <c r="H14" s="6"/>
    </row>
    <row r="15" spans="2:10">
      <c r="B15" s="272" t="s">
        <v>158</v>
      </c>
      <c r="C15" s="270"/>
      <c r="D15" s="270"/>
      <c r="E15" s="270"/>
      <c r="F15" s="270"/>
      <c r="G15" s="270"/>
    </row>
    <row r="16" spans="2:10">
      <c r="C16" s="15"/>
      <c r="D16" s="15"/>
      <c r="E16" s="15"/>
      <c r="F16" s="15"/>
      <c r="G16" s="15"/>
    </row>
    <row r="18" spans="2:9">
      <c r="C18"/>
      <c r="D18"/>
    </row>
    <row r="21" spans="2:9" ht="14.25">
      <c r="B21" s="275" t="s">
        <v>92</v>
      </c>
      <c r="C21" s="275"/>
      <c r="D21" s="275"/>
    </row>
    <row r="22" spans="2:9">
      <c r="B22" s="10" t="s">
        <v>160</v>
      </c>
      <c r="C22" s="12" t="s">
        <v>159</v>
      </c>
      <c r="D22" s="12" t="s">
        <v>2</v>
      </c>
      <c r="E22" s="12"/>
    </row>
    <row r="23" spans="2:9">
      <c r="B23" s="2" t="s">
        <v>3</v>
      </c>
      <c r="C23" s="6">
        <v>11010749600</v>
      </c>
      <c r="D23" s="112">
        <f>C23/$C$26</f>
        <v>0.94644030303884386</v>
      </c>
      <c r="E23" s="112"/>
    </row>
    <row r="24" spans="2:9">
      <c r="B24" s="2" t="s">
        <v>4</v>
      </c>
      <c r="C24" s="6">
        <f>472850888+31370000</f>
        <v>504220888</v>
      </c>
      <c r="D24" s="112">
        <f t="shared" ref="D24:D25" si="4">C24/$C$26</f>
        <v>4.3340824864206789E-2</v>
      </c>
      <c r="E24" s="112"/>
      <c r="G24" s="8"/>
      <c r="H24" s="8"/>
      <c r="I24" s="8"/>
    </row>
    <row r="25" spans="2:9" ht="13.5" thickBot="1">
      <c r="B25" s="2" t="s">
        <v>16</v>
      </c>
      <c r="C25" s="249">
        <v>118884880</v>
      </c>
      <c r="D25" s="250">
        <f t="shared" si="4"/>
        <v>1.0218872096949383E-2</v>
      </c>
      <c r="E25" s="112"/>
      <c r="F25" s="13"/>
      <c r="G25" s="8"/>
      <c r="H25" s="8"/>
      <c r="I25" s="8"/>
    </row>
    <row r="26" spans="2:9" ht="13.5" thickTop="1">
      <c r="B26" s="251" t="s">
        <v>1</v>
      </c>
      <c r="C26" s="6">
        <f>SUM(C23:C25)</f>
        <v>11633855368</v>
      </c>
      <c r="D26" s="7">
        <f>SUM(D23:D25)</f>
        <v>1</v>
      </c>
      <c r="E26" s="7"/>
      <c r="G26" s="241"/>
      <c r="H26" s="8"/>
      <c r="I26" s="8"/>
    </row>
    <row r="27" spans="2:9">
      <c r="G27" s="14"/>
    </row>
    <row r="28" spans="2:9">
      <c r="F28" s="6"/>
      <c r="G28" s="6"/>
    </row>
    <row r="29" spans="2:9">
      <c r="C29" s="6"/>
      <c r="D29" s="112"/>
      <c r="E29" s="16"/>
      <c r="F29" s="16"/>
      <c r="G29" s="16"/>
    </row>
    <row r="30" spans="2:9">
      <c r="C30" s="6"/>
      <c r="D30" s="112"/>
      <c r="E30" s="189"/>
      <c r="F30" s="17"/>
      <c r="G30" s="17"/>
    </row>
    <row r="31" spans="2:9">
      <c r="C31" s="6"/>
      <c r="D31" s="112"/>
      <c r="F31" s="18"/>
      <c r="G31" s="18"/>
    </row>
    <row r="32" spans="2:9">
      <c r="C32" s="6"/>
      <c r="D32" s="7"/>
    </row>
  </sheetData>
  <mergeCells count="1">
    <mergeCell ref="B21:D21"/>
  </mergeCells>
  <pageMargins left="0.7" right="0.7" top="0.75" bottom="0.75" header="0.3" footer="0.3"/>
  <pageSetup orientation="portrait" r:id="rId1"/>
  <ignoredErrors>
    <ignoredError sqref="E11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I31"/>
  <sheetViews>
    <sheetView showGridLines="0" zoomScale="150" zoomScaleNormal="150" workbookViewId="0">
      <selection activeCell="B6" sqref="B6:G15"/>
    </sheetView>
  </sheetViews>
  <sheetFormatPr defaultColWidth="9.140625" defaultRowHeight="12.75"/>
  <cols>
    <col min="1" max="1" width="9.140625" style="2"/>
    <col min="2" max="2" width="17.42578125" style="2" customWidth="1"/>
    <col min="3" max="3" width="12.28515625" style="2" customWidth="1"/>
    <col min="4" max="4" width="13.7109375" style="2" customWidth="1"/>
    <col min="5" max="5" width="12.28515625" style="2" bestFit="1" customWidth="1"/>
    <col min="6" max="6" width="14.140625" style="2" customWidth="1"/>
    <col min="7" max="7" width="11.85546875" style="2" customWidth="1"/>
    <col min="8" max="8" width="4.140625" style="2" customWidth="1"/>
    <col min="9" max="9" width="14.140625" style="2" customWidth="1"/>
    <col min="10" max="16384" width="9.140625" style="2"/>
  </cols>
  <sheetData>
    <row r="2" spans="2:9" ht="14.25">
      <c r="B2" s="1" t="s">
        <v>18</v>
      </c>
      <c r="C2"/>
      <c r="D2"/>
      <c r="E2"/>
      <c r="F2"/>
    </row>
    <row r="3" spans="2:9" ht="14.25">
      <c r="B3" s="1" t="s">
        <v>43</v>
      </c>
      <c r="C3"/>
      <c r="D3"/>
      <c r="E3"/>
      <c r="F3"/>
    </row>
    <row r="4" spans="2:9" ht="15" thickBot="1">
      <c r="B4" s="31" t="s">
        <v>76</v>
      </c>
      <c r="C4"/>
      <c r="D4"/>
      <c r="E4" s="3"/>
      <c r="F4"/>
    </row>
    <row r="5" spans="2:9" ht="38.25">
      <c r="B5" s="146" t="s">
        <v>0</v>
      </c>
      <c r="C5" s="44" t="s">
        <v>155</v>
      </c>
      <c r="D5" s="44" t="s">
        <v>74</v>
      </c>
      <c r="E5" s="44" t="s">
        <v>118</v>
      </c>
      <c r="F5" s="4" t="s">
        <v>162</v>
      </c>
      <c r="G5" s="4" t="s">
        <v>121</v>
      </c>
      <c r="H5" s="47"/>
      <c r="I5" s="1"/>
    </row>
    <row r="6" spans="2:9" ht="14.25">
      <c r="B6" s="133" t="s">
        <v>32</v>
      </c>
      <c r="C6" s="5">
        <f>'Residential Unit Costs'!C6</f>
        <v>17726872.689999998</v>
      </c>
      <c r="D6" s="5">
        <f>'Residential Unit Costs'!D6</f>
        <v>120860</v>
      </c>
      <c r="E6" s="142">
        <f>'Residential Unit Costs'!E6</f>
        <v>6.8178974438158511E-3</v>
      </c>
      <c r="F6" s="140">
        <f>D6*0.054</f>
        <v>6526.44</v>
      </c>
      <c r="G6" s="147">
        <f>F6/$G$12</f>
        <v>0.80943073297779977</v>
      </c>
      <c r="H6" s="6"/>
      <c r="I6" s="1"/>
    </row>
    <row r="7" spans="2:9" ht="14.25">
      <c r="B7" s="133" t="s">
        <v>49</v>
      </c>
      <c r="C7" s="5">
        <f>'Residential Unit Costs'!C7</f>
        <v>6610701.4099999983</v>
      </c>
      <c r="D7" s="5">
        <f>'Residential Unit Costs'!D7</f>
        <v>5353301.3399999989</v>
      </c>
      <c r="E7" s="142">
        <f>'Residential Unit Costs'!E7</f>
        <v>0.80979324401221142</v>
      </c>
      <c r="F7" s="140">
        <f t="shared" ref="F7:F10" si="0">D7*0.054</f>
        <v>289078.27235999994</v>
      </c>
      <c r="G7" s="147">
        <f t="shared" ref="G7:G11" si="1">F7/$G$12</f>
        <v>35.8524460324941</v>
      </c>
      <c r="H7" s="6"/>
      <c r="I7" s="1"/>
    </row>
    <row r="8" spans="2:9" ht="14.25">
      <c r="B8" s="133" t="s">
        <v>50</v>
      </c>
      <c r="C8" s="5">
        <f>'Residential Unit Costs'!C8</f>
        <v>7848149.209999999</v>
      </c>
      <c r="D8" s="5">
        <f>'Residential Unit Costs'!D8</f>
        <v>3881366.44</v>
      </c>
      <c r="E8" s="142">
        <f>'Residential Unit Costs'!E8</f>
        <v>0.49455818641348187</v>
      </c>
      <c r="F8" s="140">
        <f t="shared" si="0"/>
        <v>209593.78776000001</v>
      </c>
      <c r="G8" s="147">
        <f t="shared" si="1"/>
        <v>25.994516651370457</v>
      </c>
      <c r="H8" s="6"/>
      <c r="I8" s="1"/>
    </row>
    <row r="9" spans="2:9">
      <c r="B9" s="133" t="s">
        <v>51</v>
      </c>
      <c r="C9" s="5">
        <f>'Residential Unit Costs'!C9</f>
        <v>8689142.0599999987</v>
      </c>
      <c r="D9" s="5">
        <f>'Residential Unit Costs'!D9</f>
        <v>0</v>
      </c>
      <c r="E9" s="142">
        <f>'Residential Unit Costs'!E9</f>
        <v>0</v>
      </c>
      <c r="F9" s="140">
        <f t="shared" si="0"/>
        <v>0</v>
      </c>
      <c r="G9" s="147">
        <f t="shared" si="1"/>
        <v>0</v>
      </c>
      <c r="H9" s="6"/>
    </row>
    <row r="10" spans="2:9">
      <c r="B10" s="133" t="s">
        <v>52</v>
      </c>
      <c r="C10" s="5">
        <f>'Residential Unit Costs'!C10</f>
        <v>48709455.704047784</v>
      </c>
      <c r="D10" s="5">
        <f>'Residential Unit Costs'!D10</f>
        <v>1917071.2047459995</v>
      </c>
      <c r="E10" s="143">
        <f>'Residential Unit Costs'!E10</f>
        <v>3.9357270103650324E-2</v>
      </c>
      <c r="F10" s="140">
        <f t="shared" si="0"/>
        <v>103521.84505628397</v>
      </c>
      <c r="G10" s="147">
        <f t="shared" si="1"/>
        <v>12.839122542017112</v>
      </c>
      <c r="H10" s="6"/>
    </row>
    <row r="11" spans="2:9" ht="16.5" customHeight="1">
      <c r="B11" s="134" t="s">
        <v>1</v>
      </c>
      <c r="C11" s="135">
        <f>SUM(C6:C10)</f>
        <v>89584321.074047774</v>
      </c>
      <c r="D11" s="145">
        <f t="shared" ref="D11:F11" si="2">SUM(D6:D10)</f>
        <v>11272598.984745998</v>
      </c>
      <c r="E11" s="144">
        <f>D11/C11</f>
        <v>0.12583227566605543</v>
      </c>
      <c r="F11" s="135">
        <f t="shared" si="2"/>
        <v>608720.34517628397</v>
      </c>
      <c r="G11" s="136">
        <f t="shared" si="1"/>
        <v>75.495515958859471</v>
      </c>
      <c r="H11" s="6"/>
    </row>
    <row r="12" spans="2:9" ht="15" customHeight="1">
      <c r="B12" s="148" t="s">
        <v>78</v>
      </c>
      <c r="C12" s="139"/>
      <c r="D12" s="139"/>
      <c r="E12" s="139"/>
      <c r="F12" s="150"/>
      <c r="G12" s="151">
        <v>8063</v>
      </c>
      <c r="H12" s="6"/>
    </row>
    <row r="13" spans="2:9" ht="17.25" customHeight="1" thickBot="1">
      <c r="B13" s="149" t="s">
        <v>122</v>
      </c>
      <c r="C13" s="141"/>
      <c r="D13" s="137"/>
      <c r="E13" s="141"/>
      <c r="F13" s="137"/>
      <c r="G13" s="138">
        <f>G11</f>
        <v>75.495515958859471</v>
      </c>
      <c r="H13" s="6"/>
    </row>
    <row r="14" spans="2:9" ht="16.5" customHeight="1">
      <c r="B14" s="2" t="s">
        <v>175</v>
      </c>
      <c r="C14" s="15"/>
      <c r="D14" s="15"/>
      <c r="E14" s="15"/>
      <c r="F14" s="15"/>
      <c r="G14" s="15"/>
      <c r="H14" s="6"/>
    </row>
    <row r="15" spans="2:9">
      <c r="B15" s="11" t="s">
        <v>154</v>
      </c>
      <c r="G15" s="6"/>
    </row>
    <row r="16" spans="2:9">
      <c r="G16" s="6"/>
    </row>
    <row r="17" spans="2:9">
      <c r="C17" s="15"/>
      <c r="D17" s="15"/>
      <c r="E17" s="15"/>
      <c r="F17" s="15"/>
      <c r="G17" s="6"/>
    </row>
    <row r="18" spans="2:9">
      <c r="C18"/>
      <c r="D18"/>
      <c r="E18"/>
      <c r="F18"/>
      <c r="G18" s="6"/>
    </row>
    <row r="19" spans="2:9">
      <c r="I19" s="9"/>
    </row>
    <row r="20" spans="2:9">
      <c r="H20" s="11"/>
    </row>
    <row r="21" spans="2:9" ht="14.25">
      <c r="E21" s="19"/>
    </row>
    <row r="25" spans="2:9">
      <c r="F25" s="14"/>
      <c r="G25" s="14"/>
    </row>
    <row r="26" spans="2:9">
      <c r="E26" s="6"/>
      <c r="F26" s="6"/>
      <c r="G26" s="6"/>
    </row>
    <row r="27" spans="2:9">
      <c r="E27" s="8"/>
      <c r="F27" s="8"/>
      <c r="G27" s="8"/>
    </row>
    <row r="28" spans="2:9">
      <c r="B28" s="10"/>
      <c r="C28" s="10"/>
      <c r="D28" s="10"/>
      <c r="E28" s="15"/>
      <c r="F28" s="15"/>
      <c r="G28" s="15"/>
    </row>
    <row r="29" spans="2:9">
      <c r="C29" s="16"/>
      <c r="D29" s="16"/>
      <c r="E29" s="16"/>
      <c r="F29" s="16"/>
      <c r="G29" s="16"/>
    </row>
    <row r="30" spans="2:9">
      <c r="E30" s="17"/>
      <c r="F30" s="17"/>
      <c r="G30" s="17"/>
    </row>
    <row r="31" spans="2:9">
      <c r="E31" s="18"/>
      <c r="F31" s="18"/>
      <c r="G31" s="18"/>
    </row>
  </sheetData>
  <pageMargins left="0.7" right="0.7" top="0.75" bottom="0.75" header="0.3" footer="0.3"/>
  <pageSetup orientation="portrait" r:id="rId1"/>
  <ignoredErrors>
    <ignoredError sqref="E11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B2:O73"/>
  <sheetViews>
    <sheetView zoomScale="130" zoomScaleNormal="130" workbookViewId="0">
      <selection activeCell="C22" sqref="C22:F27"/>
    </sheetView>
  </sheetViews>
  <sheetFormatPr defaultColWidth="9.140625" defaultRowHeight="12.75"/>
  <cols>
    <col min="1" max="1" width="9.140625" style="21" customWidth="1"/>
    <col min="2" max="2" width="18.7109375" style="21" customWidth="1"/>
    <col min="3" max="3" width="11.28515625" style="21" customWidth="1"/>
    <col min="4" max="4" width="12.7109375" style="21" customWidth="1"/>
    <col min="5" max="5" width="14" style="21" customWidth="1"/>
    <col min="6" max="6" width="13.28515625" style="21" bestFit="1" customWidth="1"/>
    <col min="7" max="7" width="12.28515625" style="21" bestFit="1" customWidth="1"/>
    <col min="8" max="9" width="3.7109375" style="21" customWidth="1"/>
    <col min="10" max="10" width="4" style="21" customWidth="1"/>
    <col min="11" max="11" width="11" style="21" customWidth="1"/>
    <col min="12" max="12" width="7.85546875" style="21" customWidth="1"/>
    <col min="13" max="13" width="6.7109375" style="21" customWidth="1"/>
    <col min="14" max="14" width="13.7109375" style="21" customWidth="1"/>
    <col min="15" max="16384" width="9.140625" style="21"/>
  </cols>
  <sheetData>
    <row r="2" spans="2:13" ht="13.5" customHeight="1">
      <c r="B2" s="20" t="s">
        <v>113</v>
      </c>
    </row>
    <row r="3" spans="2:13" ht="14.25">
      <c r="B3" s="20" t="s">
        <v>61</v>
      </c>
    </row>
    <row r="4" spans="2:13" ht="15" thickBot="1">
      <c r="B4" s="31" t="s">
        <v>76</v>
      </c>
      <c r="C4" s="32"/>
    </row>
    <row r="5" spans="2:13" ht="30" customHeight="1">
      <c r="B5" s="22" t="s">
        <v>3</v>
      </c>
      <c r="C5" s="103" t="s">
        <v>5</v>
      </c>
      <c r="D5" s="103" t="s">
        <v>62</v>
      </c>
      <c r="E5" s="103" t="s">
        <v>75</v>
      </c>
      <c r="F5" s="103" t="s">
        <v>63</v>
      </c>
      <c r="G5" s="103" t="s">
        <v>64</v>
      </c>
      <c r="H5" s="102"/>
      <c r="I5" s="102"/>
      <c r="J5" s="233"/>
      <c r="K5" s="243" t="s">
        <v>163</v>
      </c>
      <c r="L5" s="234"/>
      <c r="M5" s="235"/>
    </row>
    <row r="6" spans="2:13">
      <c r="B6" s="23" t="s">
        <v>73</v>
      </c>
      <c r="C6" s="105">
        <f>Project!D7+Project!D14</f>
        <v>65.55</v>
      </c>
      <c r="D6" s="105">
        <v>500</v>
      </c>
      <c r="E6" s="55">
        <v>440</v>
      </c>
      <c r="F6" s="55">
        <f>(D6*E6)*C6</f>
        <v>14421000</v>
      </c>
      <c r="G6" s="55">
        <f>(F6/1000)*$L$6</f>
        <v>164255.19</v>
      </c>
      <c r="H6" s="24"/>
      <c r="J6" s="236"/>
      <c r="K6" s="21" t="s">
        <v>3</v>
      </c>
      <c r="L6" s="58">
        <v>11.39</v>
      </c>
      <c r="M6" s="237"/>
    </row>
    <row r="7" spans="2:13">
      <c r="B7" s="23" t="s">
        <v>65</v>
      </c>
      <c r="C7" s="105">
        <f>Project!D8+Project!D15</f>
        <v>65.55</v>
      </c>
      <c r="D7" s="105">
        <v>750</v>
      </c>
      <c r="E7" s="55">
        <v>440</v>
      </c>
      <c r="F7" s="55">
        <f>(D7*E7)*C7</f>
        <v>21631500</v>
      </c>
      <c r="G7" s="55">
        <f>(F7/1000)*$L$6</f>
        <v>246382.785</v>
      </c>
      <c r="H7" s="24"/>
      <c r="J7" s="236"/>
      <c r="K7" s="21" t="s">
        <v>4</v>
      </c>
      <c r="L7" s="58">
        <v>11.39</v>
      </c>
      <c r="M7" s="237"/>
    </row>
    <row r="8" spans="2:13" ht="13.5" thickBot="1">
      <c r="B8" s="23" t="s">
        <v>66</v>
      </c>
      <c r="C8" s="105">
        <f>Project!D9+Project!D16</f>
        <v>15.2</v>
      </c>
      <c r="D8" s="105">
        <v>1100</v>
      </c>
      <c r="E8" s="55">
        <v>440</v>
      </c>
      <c r="F8" s="55">
        <f>IF(C8&lt;1,0,(D8*E8)*C8-100000)</f>
        <v>7256800</v>
      </c>
      <c r="G8" s="55">
        <f t="shared" ref="G8:G11" si="0">(F8/1000)*$L$6</f>
        <v>82654.952000000005</v>
      </c>
      <c r="H8" s="24"/>
      <c r="J8" s="238"/>
      <c r="K8" s="32"/>
      <c r="L8" s="32"/>
      <c r="M8" s="239"/>
    </row>
    <row r="9" spans="2:13">
      <c r="B9" s="23" t="s">
        <v>67</v>
      </c>
      <c r="C9" s="105">
        <f>Project!D10+Project!D17</f>
        <v>0</v>
      </c>
      <c r="D9" s="105">
        <v>1250</v>
      </c>
      <c r="E9" s="55">
        <v>440</v>
      </c>
      <c r="F9" s="55">
        <f>(D9*E9)*C9</f>
        <v>0</v>
      </c>
      <c r="G9" s="55">
        <f t="shared" si="0"/>
        <v>0</v>
      </c>
      <c r="H9" s="24"/>
    </row>
    <row r="10" spans="2:13">
      <c r="B10" s="21" t="s">
        <v>48</v>
      </c>
      <c r="C10" s="105">
        <f>Project!D11+Project!D18</f>
        <v>0</v>
      </c>
      <c r="D10" s="105">
        <v>1500</v>
      </c>
      <c r="E10" s="55">
        <v>600</v>
      </c>
      <c r="F10" s="55">
        <f>IF(C10&lt;1,0,((D10*E10)*C10-100000)-(C10*100000))</f>
        <v>0</v>
      </c>
      <c r="G10" s="55">
        <f t="shared" si="0"/>
        <v>0</v>
      </c>
      <c r="H10" s="24"/>
      <c r="J10" s="242"/>
    </row>
    <row r="11" spans="2:13">
      <c r="B11" s="26" t="s">
        <v>68</v>
      </c>
      <c r="C11" s="170">
        <f>Project!D12+Project!D19</f>
        <v>0</v>
      </c>
      <c r="D11" s="105">
        <v>1600</v>
      </c>
      <c r="E11" s="55">
        <v>600</v>
      </c>
      <c r="F11" s="55">
        <f>IF(C11&lt;1,0,((D11*E11)*C11-100000)-(C11*100000))</f>
        <v>0</v>
      </c>
      <c r="G11" s="55">
        <f t="shared" si="0"/>
        <v>0</v>
      </c>
      <c r="H11" s="24"/>
    </row>
    <row r="12" spans="2:13" ht="13.5" thickBot="1">
      <c r="B12" s="33" t="s">
        <v>33</v>
      </c>
      <c r="C12" s="106">
        <f>SUM(C6:C11)</f>
        <v>146.29999999999998</v>
      </c>
      <c r="D12" s="106"/>
      <c r="E12" s="104"/>
      <c r="F12" s="104">
        <f>SUM(F6:F11)</f>
        <v>43309300</v>
      </c>
      <c r="G12" s="104">
        <f>SUM(G6:G11)</f>
        <v>493292.92699999997</v>
      </c>
      <c r="H12" s="24"/>
    </row>
    <row r="13" spans="2:13" ht="13.5" thickTop="1">
      <c r="B13" s="21" t="s">
        <v>79</v>
      </c>
      <c r="C13" s="107"/>
      <c r="D13" s="107"/>
      <c r="E13" s="75"/>
      <c r="F13" s="75"/>
      <c r="G13" s="75"/>
    </row>
    <row r="14" spans="2:13">
      <c r="C14" s="107"/>
      <c r="D14" s="107"/>
      <c r="E14" s="75"/>
      <c r="F14" s="75"/>
      <c r="G14" s="75"/>
    </row>
    <row r="15" spans="2:13">
      <c r="C15" s="30"/>
      <c r="E15" s="24"/>
      <c r="J15" s="24"/>
    </row>
    <row r="16" spans="2:13" ht="14.25">
      <c r="B16" s="130"/>
      <c r="C16" s="29"/>
      <c r="E16" s="24"/>
      <c r="J16" s="84"/>
      <c r="K16" s="84"/>
      <c r="L16" s="211"/>
    </row>
    <row r="17" spans="2:11">
      <c r="B17" s="23"/>
      <c r="C17" s="27"/>
      <c r="D17" s="24"/>
      <c r="J17" s="24"/>
    </row>
    <row r="18" spans="2:11" ht="14.25">
      <c r="B18" s="20" t="s">
        <v>114</v>
      </c>
    </row>
    <row r="19" spans="2:11" ht="14.25">
      <c r="B19" s="20" t="s">
        <v>61</v>
      </c>
    </row>
    <row r="20" spans="2:11" ht="15" thickBot="1">
      <c r="B20" s="31" t="s">
        <v>76</v>
      </c>
      <c r="C20" s="32"/>
    </row>
    <row r="21" spans="2:11" ht="25.5">
      <c r="B21" s="22" t="s">
        <v>115</v>
      </c>
      <c r="C21" s="103" t="s">
        <v>130</v>
      </c>
      <c r="D21" s="103" t="s">
        <v>129</v>
      </c>
      <c r="E21" s="103" t="s">
        <v>63</v>
      </c>
      <c r="F21" s="103" t="s">
        <v>64</v>
      </c>
      <c r="G21" s="131"/>
      <c r="H21" s="102"/>
    </row>
    <row r="22" spans="2:11">
      <c r="B22" s="23" t="s">
        <v>85</v>
      </c>
      <c r="C22" s="105">
        <f>Project!I6</f>
        <v>87303.6</v>
      </c>
      <c r="D22" s="55">
        <v>300</v>
      </c>
      <c r="E22" s="55">
        <f>C22*D22</f>
        <v>26191080</v>
      </c>
      <c r="F22" s="55">
        <f>(E22/1000)*$L$7</f>
        <v>298316.40120000002</v>
      </c>
      <c r="G22" s="24"/>
      <c r="H22" s="24"/>
    </row>
    <row r="23" spans="2:11">
      <c r="B23" s="23" t="s">
        <v>86</v>
      </c>
      <c r="C23" s="105">
        <f>Project!I7</f>
        <v>115979.15999999999</v>
      </c>
      <c r="D23" s="55">
        <v>400</v>
      </c>
      <c r="E23" s="55">
        <f t="shared" ref="E23:E26" si="1">C23*D23</f>
        <v>46391663.999999993</v>
      </c>
      <c r="F23" s="55">
        <f t="shared" ref="F23:F26" si="2">(E23/1000)*$L$7</f>
        <v>528401.05295999988</v>
      </c>
      <c r="G23" s="24"/>
      <c r="H23" s="24"/>
    </row>
    <row r="24" spans="2:11">
      <c r="B24" s="23" t="s">
        <v>87</v>
      </c>
      <c r="C24" s="105">
        <f>Project!I8</f>
        <v>0</v>
      </c>
      <c r="D24" s="55">
        <v>650</v>
      </c>
      <c r="E24" s="55">
        <f t="shared" si="1"/>
        <v>0</v>
      </c>
      <c r="F24" s="55">
        <f t="shared" si="2"/>
        <v>0</v>
      </c>
      <c r="G24" s="24"/>
      <c r="H24" s="24"/>
    </row>
    <row r="25" spans="2:11">
      <c r="B25" s="23" t="s">
        <v>88</v>
      </c>
      <c r="C25" s="105">
        <f>Project!I9</f>
        <v>143</v>
      </c>
      <c r="D25" s="55">
        <v>215000</v>
      </c>
      <c r="E25" s="55">
        <f t="shared" si="1"/>
        <v>30745000</v>
      </c>
      <c r="F25" s="55">
        <f t="shared" si="2"/>
        <v>350185.55000000005</v>
      </c>
      <c r="G25" s="24"/>
      <c r="H25" s="24"/>
      <c r="J25" s="84"/>
      <c r="K25" s="84"/>
    </row>
    <row r="26" spans="2:11">
      <c r="B26" s="21" t="s">
        <v>89</v>
      </c>
      <c r="C26" s="170">
        <f>Project!I10</f>
        <v>0</v>
      </c>
      <c r="D26" s="55">
        <v>200</v>
      </c>
      <c r="E26" s="55">
        <f t="shared" si="1"/>
        <v>0</v>
      </c>
      <c r="F26" s="55">
        <f t="shared" si="2"/>
        <v>0</v>
      </c>
      <c r="G26" s="24"/>
      <c r="H26" s="24"/>
    </row>
    <row r="27" spans="2:11" ht="13.5" thickBot="1">
      <c r="B27" s="33" t="s">
        <v>33</v>
      </c>
      <c r="C27" s="106">
        <f>SUM(C22:C26)</f>
        <v>203425.76</v>
      </c>
      <c r="D27" s="104"/>
      <c r="E27" s="104">
        <f>SUM(E22:E26)</f>
        <v>103327744</v>
      </c>
      <c r="F27" s="104">
        <f>SUM(F22:F26)</f>
        <v>1176903.00416</v>
      </c>
      <c r="G27" s="75"/>
    </row>
    <row r="28" spans="2:11" ht="18.75" customHeight="1" thickTop="1">
      <c r="B28" s="21" t="s">
        <v>79</v>
      </c>
      <c r="C28" s="107"/>
      <c r="D28" s="107"/>
      <c r="E28" s="75"/>
      <c r="F28" s="75"/>
      <c r="G28" s="75"/>
      <c r="H28" s="24"/>
      <c r="K28" s="212"/>
    </row>
    <row r="29" spans="2:11">
      <c r="C29" s="107"/>
      <c r="D29" s="107"/>
      <c r="E29" s="75"/>
      <c r="F29" s="75"/>
      <c r="G29" s="75"/>
    </row>
    <row r="35" spans="10:15">
      <c r="J35" s="84"/>
      <c r="K35" s="127"/>
      <c r="L35" s="127"/>
      <c r="M35" s="127"/>
      <c r="N35" s="127"/>
      <c r="O35" s="36"/>
    </row>
    <row r="36" spans="10:15">
      <c r="K36" s="207"/>
      <c r="L36" s="36"/>
      <c r="M36" s="207"/>
      <c r="N36" s="208"/>
      <c r="O36" s="36"/>
    </row>
    <row r="37" spans="10:15">
      <c r="K37" s="207"/>
      <c r="L37" s="36"/>
      <c r="M37" s="207"/>
      <c r="N37" s="208"/>
    </row>
    <row r="38" spans="10:15">
      <c r="K38" s="207"/>
      <c r="L38" s="36"/>
      <c r="M38" s="207"/>
      <c r="N38" s="208"/>
    </row>
    <row r="39" spans="10:15">
      <c r="K39" s="209"/>
      <c r="L39" s="36"/>
      <c r="M39" s="207"/>
      <c r="N39" s="208"/>
    </row>
    <row r="40" spans="10:15">
      <c r="K40" s="209"/>
      <c r="L40" s="36"/>
      <c r="M40" s="207"/>
      <c r="N40" s="208"/>
    </row>
    <row r="41" spans="10:15">
      <c r="K41" s="209"/>
      <c r="L41" s="36"/>
      <c r="M41" s="207"/>
      <c r="N41" s="208"/>
    </row>
    <row r="42" spans="10:15">
      <c r="K42" s="210"/>
      <c r="M42" s="209"/>
      <c r="N42" s="210"/>
    </row>
    <row r="43" spans="10:15">
      <c r="K43" s="210"/>
      <c r="M43" s="209"/>
      <c r="N43" s="210"/>
    </row>
    <row r="44" spans="10:15">
      <c r="K44" s="210"/>
      <c r="M44" s="209"/>
      <c r="N44" s="210"/>
    </row>
    <row r="45" spans="10:15">
      <c r="K45" s="210"/>
      <c r="M45" s="209"/>
      <c r="N45" s="210"/>
    </row>
    <row r="46" spans="10:15">
      <c r="K46" s="210"/>
      <c r="M46" s="209"/>
      <c r="N46" s="210"/>
    </row>
    <row r="47" spans="10:15">
      <c r="K47" s="210"/>
      <c r="M47" s="209"/>
      <c r="N47" s="210"/>
    </row>
    <row r="48" spans="10:15">
      <c r="M48" s="209"/>
      <c r="N48" s="210"/>
    </row>
    <row r="49" spans="2:14">
      <c r="M49" s="209"/>
      <c r="N49" s="210"/>
    </row>
    <row r="50" spans="2:14">
      <c r="M50" s="209"/>
      <c r="N50" s="210"/>
    </row>
    <row r="51" spans="2:14">
      <c r="M51" s="209"/>
      <c r="N51" s="210"/>
    </row>
    <row r="52" spans="2:14">
      <c r="M52" s="209"/>
      <c r="N52" s="210"/>
    </row>
    <row r="53" spans="2:14">
      <c r="M53" s="209"/>
      <c r="N53" s="210"/>
    </row>
    <row r="54" spans="2:14">
      <c r="M54" s="209"/>
      <c r="N54" s="209"/>
    </row>
    <row r="63" spans="2:14" ht="14.25">
      <c r="B63" s="28"/>
      <c r="C63" s="29"/>
    </row>
    <row r="64" spans="2:14">
      <c r="B64" s="23"/>
      <c r="C64" s="27"/>
    </row>
    <row r="65" spans="2:3">
      <c r="B65" s="23"/>
      <c r="C65" s="24"/>
    </row>
    <row r="66" spans="2:3">
      <c r="B66" s="23"/>
      <c r="C66" s="25"/>
    </row>
    <row r="67" spans="2:3">
      <c r="B67" s="23"/>
      <c r="C67" s="24"/>
    </row>
    <row r="68" spans="2:3">
      <c r="B68" s="26"/>
      <c r="C68" s="24"/>
    </row>
    <row r="69" spans="2:3">
      <c r="C69" s="24"/>
    </row>
    <row r="71" spans="2:3">
      <c r="C71" s="24"/>
    </row>
    <row r="73" spans="2:3">
      <c r="C73" s="30"/>
    </row>
  </sheetData>
  <pageMargins left="0.7" right="0.7" top="0.75" bottom="0.75" header="0.3" footer="0.3"/>
  <pageSetup orientation="portrait" r:id="rId1"/>
  <ignoredErrors>
    <ignoredError sqref="F8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B2:L29"/>
  <sheetViews>
    <sheetView zoomScale="140" zoomScaleNormal="140" workbookViewId="0">
      <selection activeCell="D18" sqref="D18"/>
    </sheetView>
  </sheetViews>
  <sheetFormatPr defaultColWidth="9.140625" defaultRowHeight="12.75"/>
  <cols>
    <col min="1" max="1" width="9.140625" style="21"/>
    <col min="2" max="2" width="13.85546875" style="21" customWidth="1"/>
    <col min="3" max="3" width="10.140625" style="21" customWidth="1"/>
    <col min="4" max="4" width="8.140625" style="21" customWidth="1"/>
    <col min="5" max="5" width="10.7109375" style="21" customWidth="1"/>
    <col min="6" max="6" width="4.28515625" style="21" customWidth="1"/>
    <col min="7" max="7" width="9.140625" style="21"/>
    <col min="8" max="8" width="3.42578125" style="21" customWidth="1"/>
    <col min="9" max="9" width="23.85546875" style="21" customWidth="1"/>
    <col min="10" max="11" width="10.7109375" style="21" customWidth="1"/>
    <col min="12" max="12" width="10.140625" style="21" customWidth="1"/>
    <col min="13" max="16384" width="9.140625" style="21"/>
  </cols>
  <sheetData>
    <row r="2" spans="2:12" ht="14.25">
      <c r="B2" s="20" t="s">
        <v>19</v>
      </c>
      <c r="I2" s="84" t="s">
        <v>106</v>
      </c>
    </row>
    <row r="3" spans="2:12" ht="14.25">
      <c r="B3" s="20" t="s">
        <v>42</v>
      </c>
      <c r="I3" s="124" t="s">
        <v>56</v>
      </c>
      <c r="J3" s="125" t="s">
        <v>38</v>
      </c>
      <c r="K3" s="125" t="s">
        <v>111</v>
      </c>
      <c r="L3" s="125" t="s">
        <v>112</v>
      </c>
    </row>
    <row r="4" spans="2:12" ht="15" thickBot="1">
      <c r="B4" s="31" t="s">
        <v>76</v>
      </c>
      <c r="C4" s="35"/>
      <c r="D4" s="35"/>
      <c r="E4" s="35"/>
      <c r="I4" s="21" t="s">
        <v>107</v>
      </c>
      <c r="J4" s="36">
        <v>300</v>
      </c>
      <c r="K4" s="52">
        <v>99</v>
      </c>
      <c r="L4" s="122">
        <v>0.33</v>
      </c>
    </row>
    <row r="5" spans="2:12" ht="24.6" customHeight="1">
      <c r="B5" s="39" t="s">
        <v>6</v>
      </c>
      <c r="C5" s="41" t="s">
        <v>5</v>
      </c>
      <c r="D5" s="40" t="s">
        <v>35</v>
      </c>
      <c r="E5" s="42" t="s">
        <v>10</v>
      </c>
      <c r="F5" s="51"/>
      <c r="I5" s="21" t="s">
        <v>134</v>
      </c>
      <c r="J5" s="36">
        <v>38</v>
      </c>
      <c r="K5" s="52">
        <v>15</v>
      </c>
      <c r="L5" s="122">
        <v>0.39473684210526316</v>
      </c>
    </row>
    <row r="6" spans="2:12" ht="12.75" customHeight="1">
      <c r="B6" s="97" t="s">
        <v>7</v>
      </c>
      <c r="C6" s="178">
        <f>SUM(C7:C12)</f>
        <v>131</v>
      </c>
      <c r="D6" s="99"/>
      <c r="E6" s="98">
        <f>SUM(E8:E12)</f>
        <v>21.599999999999998</v>
      </c>
      <c r="F6" s="36"/>
      <c r="I6" s="21" t="s">
        <v>135</v>
      </c>
      <c r="J6" s="36">
        <v>54</v>
      </c>
      <c r="K6" s="52">
        <v>13</v>
      </c>
      <c r="L6" s="122">
        <v>0.24074074074074073</v>
      </c>
    </row>
    <row r="7" spans="2:12">
      <c r="B7" s="37" t="s">
        <v>71</v>
      </c>
      <c r="C7" s="179">
        <f>Project!C7</f>
        <v>59</v>
      </c>
      <c r="D7" s="122">
        <v>0</v>
      </c>
      <c r="E7" s="60">
        <f>C7*D7</f>
        <v>0</v>
      </c>
      <c r="F7" s="52"/>
      <c r="I7" s="21" t="s">
        <v>108</v>
      </c>
      <c r="J7" s="36">
        <v>24</v>
      </c>
      <c r="K7" s="52">
        <v>2</v>
      </c>
      <c r="L7" s="122">
        <v>8.3333333333333329E-2</v>
      </c>
    </row>
    <row r="8" spans="2:12">
      <c r="B8" s="37" t="s">
        <v>8</v>
      </c>
      <c r="C8" s="179">
        <f>Project!C8</f>
        <v>59</v>
      </c>
      <c r="D8" s="122">
        <v>0.3</v>
      </c>
      <c r="E8" s="60">
        <f>C8*D8</f>
        <v>17.7</v>
      </c>
      <c r="F8" s="52"/>
      <c r="I8" s="21" t="s">
        <v>109</v>
      </c>
      <c r="J8" s="36">
        <v>22</v>
      </c>
      <c r="K8" s="52">
        <v>1</v>
      </c>
      <c r="L8" s="122">
        <v>4.5454545454545456E-2</v>
      </c>
    </row>
    <row r="9" spans="2:12">
      <c r="B9" s="37" t="s">
        <v>9</v>
      </c>
      <c r="C9" s="179">
        <f>Project!C9</f>
        <v>13</v>
      </c>
      <c r="D9" s="122">
        <v>0.3</v>
      </c>
      <c r="E9" s="60">
        <f t="shared" ref="E9:E12" si="0">C9*D9</f>
        <v>3.9</v>
      </c>
      <c r="F9" s="52"/>
      <c r="I9" s="21" t="s">
        <v>110</v>
      </c>
      <c r="J9" s="36">
        <v>11</v>
      </c>
      <c r="K9" s="52">
        <v>6</v>
      </c>
      <c r="L9" s="122">
        <v>0.54545454545454541</v>
      </c>
    </row>
    <row r="10" spans="2:12">
      <c r="B10" s="37" t="s">
        <v>54</v>
      </c>
      <c r="C10" s="179">
        <f>Project!C10</f>
        <v>0</v>
      </c>
      <c r="D10" s="122">
        <v>0.3</v>
      </c>
      <c r="E10" s="60">
        <f t="shared" si="0"/>
        <v>0</v>
      </c>
      <c r="F10" s="122"/>
      <c r="I10" s="124" t="s">
        <v>133</v>
      </c>
      <c r="J10" s="125">
        <v>20</v>
      </c>
      <c r="K10" s="177">
        <v>6</v>
      </c>
      <c r="L10" s="126">
        <v>0.3</v>
      </c>
    </row>
    <row r="11" spans="2:12">
      <c r="B11" s="37" t="s">
        <v>55</v>
      </c>
      <c r="C11" s="179">
        <f>Project!C11</f>
        <v>0</v>
      </c>
      <c r="D11" s="122">
        <v>0.25</v>
      </c>
      <c r="E11" s="60">
        <f t="shared" si="0"/>
        <v>0</v>
      </c>
      <c r="F11" s="122"/>
      <c r="I11" s="84" t="s">
        <v>33</v>
      </c>
      <c r="J11" s="127">
        <f>SUM(J4:J10)</f>
        <v>469</v>
      </c>
      <c r="K11" s="127">
        <f>SUM(K4:K10)</f>
        <v>142</v>
      </c>
      <c r="L11" s="128">
        <f>K11/J11</f>
        <v>0.30277185501066101</v>
      </c>
    </row>
    <row r="12" spans="2:12">
      <c r="B12" s="38" t="s">
        <v>53</v>
      </c>
      <c r="C12" s="179">
        <f>Project!C12</f>
        <v>0</v>
      </c>
      <c r="D12" s="123">
        <v>0.42899999999999999</v>
      </c>
      <c r="E12" s="60">
        <f t="shared" si="0"/>
        <v>0</v>
      </c>
      <c r="F12" s="52"/>
      <c r="I12" s="50"/>
    </row>
    <row r="13" spans="2:12">
      <c r="B13" s="97" t="s">
        <v>11</v>
      </c>
      <c r="C13" s="178">
        <f>SUM(C14:C19)</f>
        <v>24</v>
      </c>
      <c r="D13" s="99"/>
      <c r="E13" s="98">
        <f>SUM(E15:E19)</f>
        <v>4.2</v>
      </c>
      <c r="F13" s="52"/>
      <c r="I13" s="84"/>
    </row>
    <row r="14" spans="2:12" ht="13.5" customHeight="1">
      <c r="B14" s="37" t="s">
        <v>71</v>
      </c>
      <c r="C14" s="179">
        <f>Project!C14</f>
        <v>10</v>
      </c>
      <c r="D14" s="122">
        <v>0</v>
      </c>
      <c r="E14" s="60">
        <f>C14*D14</f>
        <v>0</v>
      </c>
      <c r="F14" s="90"/>
      <c r="I14" s="273"/>
      <c r="J14" s="274"/>
      <c r="K14" s="274"/>
    </row>
    <row r="15" spans="2:12" ht="13.5" customHeight="1">
      <c r="B15" s="37" t="s">
        <v>8</v>
      </c>
      <c r="C15" s="179">
        <f>Project!C15</f>
        <v>10</v>
      </c>
      <c r="D15" s="122">
        <v>0.3</v>
      </c>
      <c r="E15" s="60">
        <f>C15*D15</f>
        <v>3</v>
      </c>
      <c r="F15" s="90"/>
      <c r="I15" s="274"/>
      <c r="J15" s="274"/>
      <c r="K15" s="274"/>
      <c r="L15" s="52"/>
    </row>
    <row r="16" spans="2:12" ht="13.5" customHeight="1">
      <c r="B16" s="37" t="s">
        <v>9</v>
      </c>
      <c r="C16" s="179">
        <v>4</v>
      </c>
      <c r="D16" s="122">
        <v>0.3</v>
      </c>
      <c r="E16" s="60">
        <f t="shared" ref="E16:E19" si="1">C16*D16</f>
        <v>1.2</v>
      </c>
      <c r="F16" s="90"/>
      <c r="J16" s="52"/>
      <c r="K16" s="52"/>
      <c r="L16" s="52"/>
    </row>
    <row r="17" spans="2:12">
      <c r="B17" s="37" t="s">
        <v>54</v>
      </c>
      <c r="C17" s="179">
        <f>Project!C17</f>
        <v>0</v>
      </c>
      <c r="D17" s="122">
        <v>0.3</v>
      </c>
      <c r="E17" s="60">
        <f t="shared" si="1"/>
        <v>0</v>
      </c>
      <c r="F17" s="90"/>
      <c r="J17" s="52"/>
      <c r="K17" s="52"/>
      <c r="L17" s="52"/>
    </row>
    <row r="18" spans="2:12">
      <c r="B18" s="37" t="s">
        <v>55</v>
      </c>
      <c r="C18" s="179">
        <f>Project!C18</f>
        <v>0</v>
      </c>
      <c r="D18" s="122">
        <v>0.25</v>
      </c>
      <c r="E18" s="60">
        <f t="shared" si="1"/>
        <v>0</v>
      </c>
      <c r="F18" s="90"/>
      <c r="I18" s="84"/>
      <c r="J18" s="84"/>
      <c r="K18" s="129"/>
      <c r="L18" s="129"/>
    </row>
    <row r="19" spans="2:12">
      <c r="B19" s="38" t="s">
        <v>53</v>
      </c>
      <c r="C19" s="180">
        <f>Project!C19</f>
        <v>0</v>
      </c>
      <c r="D19" s="123">
        <v>0.42899999999999999</v>
      </c>
      <c r="E19" s="43">
        <f t="shared" si="1"/>
        <v>0</v>
      </c>
      <c r="I19" s="84"/>
      <c r="J19" s="84"/>
      <c r="K19" s="84"/>
      <c r="L19" s="84"/>
    </row>
    <row r="20" spans="2:12" ht="13.5" thickBot="1">
      <c r="B20" s="93" t="s">
        <v>12</v>
      </c>
      <c r="C20" s="94" cm="1">
        <f t="array" ref="C20">SUM(C7:C12+C14:C19)</f>
        <v>155</v>
      </c>
      <c r="D20" s="95"/>
      <c r="E20" s="96">
        <f>SUM(E7:E12,E14:E19)</f>
        <v>25.799999999999997</v>
      </c>
    </row>
    <row r="21" spans="2:12" ht="13.5" thickTop="1">
      <c r="B21" s="276" t="s">
        <v>104</v>
      </c>
      <c r="C21" s="276"/>
      <c r="D21" s="276"/>
      <c r="E21" s="276"/>
    </row>
    <row r="22" spans="2:12">
      <c r="B22" s="91"/>
      <c r="C22" s="91"/>
      <c r="D22" s="91"/>
      <c r="E22" s="91"/>
    </row>
    <row r="23" spans="2:12">
      <c r="B23" s="91"/>
      <c r="C23" s="91"/>
      <c r="D23" s="91"/>
      <c r="E23" s="91"/>
      <c r="F23" s="50"/>
    </row>
    <row r="28" spans="2:12">
      <c r="E28" s="50"/>
    </row>
    <row r="29" spans="2:12" ht="12.75" customHeight="1"/>
  </sheetData>
  <mergeCells count="1">
    <mergeCell ref="B21:E21"/>
  </mergeCells>
  <pageMargins left="0.7" right="0.7" top="0.75" bottom="0.75" header="0.3" footer="0.3"/>
  <pageSetup orientation="portrait" r:id="rId1"/>
  <ignoredErrors>
    <ignoredError sqref="E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O37"/>
  <sheetViews>
    <sheetView zoomScale="140" zoomScaleNormal="140" workbookViewId="0">
      <selection activeCell="B6" sqref="B6:H22"/>
    </sheetView>
  </sheetViews>
  <sheetFormatPr defaultColWidth="9.140625" defaultRowHeight="12.75"/>
  <cols>
    <col min="1" max="1" width="9.140625" style="2"/>
    <col min="2" max="2" width="15.7109375" style="2" customWidth="1"/>
    <col min="3" max="3" width="16.7109375" style="2" customWidth="1"/>
    <col min="4" max="4" width="16.140625" style="2" customWidth="1"/>
    <col min="5" max="5" width="8" style="2" customWidth="1"/>
    <col min="6" max="6" width="10.140625" style="2" customWidth="1"/>
    <col min="7" max="7" width="12.28515625" style="2" bestFit="1" customWidth="1"/>
    <col min="8" max="8" width="10.85546875" style="2" customWidth="1"/>
    <col min="9" max="9" width="9.140625" style="2"/>
    <col min="10" max="10" width="10" style="2" bestFit="1" customWidth="1"/>
    <col min="11" max="11" width="11" style="2" bestFit="1" customWidth="1"/>
    <col min="12" max="13" width="10" style="2" bestFit="1" customWidth="1"/>
    <col min="14" max="16384" width="9.140625" style="2"/>
  </cols>
  <sheetData>
    <row r="1" spans="1:1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</row>
    <row r="2" spans="1:15" ht="14.25">
      <c r="A2" s="21"/>
      <c r="B2" s="20" t="s">
        <v>20</v>
      </c>
      <c r="C2" s="20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ht="14.25">
      <c r="A3" s="21"/>
      <c r="B3" s="20" t="s">
        <v>44</v>
      </c>
      <c r="C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</row>
    <row r="4" spans="1:15" ht="15" thickBot="1">
      <c r="A4" s="21"/>
      <c r="B4" s="31" t="s">
        <v>76</v>
      </c>
      <c r="C4" s="31"/>
      <c r="D4" s="32"/>
      <c r="E4" s="32"/>
      <c r="F4" s="35"/>
      <c r="G4" s="35"/>
      <c r="H4" s="32"/>
      <c r="I4" s="21"/>
      <c r="J4" s="21"/>
      <c r="K4" s="21"/>
      <c r="L4" s="21"/>
      <c r="M4" s="21"/>
      <c r="N4" s="21"/>
      <c r="O4" s="21"/>
    </row>
    <row r="5" spans="1:15" ht="25.5">
      <c r="A5" s="21"/>
      <c r="B5" s="101" t="s">
        <v>0</v>
      </c>
      <c r="C5" s="100" t="s">
        <v>141</v>
      </c>
      <c r="D5" s="100" t="s">
        <v>142</v>
      </c>
      <c r="E5" s="57" t="s">
        <v>164</v>
      </c>
      <c r="F5" s="100" t="s">
        <v>165</v>
      </c>
      <c r="G5" s="100" t="s">
        <v>166</v>
      </c>
      <c r="H5" s="54" t="s">
        <v>105</v>
      </c>
      <c r="I5" s="21"/>
      <c r="J5" s="21"/>
      <c r="K5" s="21"/>
      <c r="L5" s="21"/>
      <c r="M5" s="21"/>
      <c r="N5" s="21"/>
      <c r="O5" s="21"/>
    </row>
    <row r="6" spans="1:15">
      <c r="A6" s="21"/>
      <c r="B6" s="37" t="s">
        <v>93</v>
      </c>
      <c r="C6" s="55">
        <v>3936973</v>
      </c>
      <c r="D6" s="55">
        <v>0</v>
      </c>
      <c r="E6" s="176">
        <f>D6/C6</f>
        <v>0</v>
      </c>
      <c r="F6" s="55"/>
      <c r="G6" s="55">
        <f>F6+D6</f>
        <v>0</v>
      </c>
      <c r="H6" s="24">
        <f>G6/$H$19</f>
        <v>0</v>
      </c>
      <c r="I6" s="21"/>
      <c r="J6" s="21"/>
      <c r="K6" s="21"/>
      <c r="L6" s="21"/>
      <c r="M6" s="21"/>
      <c r="N6" s="21"/>
      <c r="O6" s="21"/>
    </row>
    <row r="7" spans="1:15">
      <c r="A7" s="21"/>
      <c r="B7" s="37" t="s">
        <v>94</v>
      </c>
      <c r="C7" s="55">
        <v>927589</v>
      </c>
      <c r="D7" s="55">
        <v>0</v>
      </c>
      <c r="E7" s="176">
        <f t="shared" ref="E7:E18" si="0">D7/C7</f>
        <v>0</v>
      </c>
      <c r="F7" s="55"/>
      <c r="G7" s="55">
        <f t="shared" ref="G7:G17" si="1">F7+D7</f>
        <v>0</v>
      </c>
      <c r="H7" s="24">
        <f t="shared" ref="H7:H17" si="2">G7/$H$19</f>
        <v>0</v>
      </c>
      <c r="I7" s="21"/>
      <c r="J7" s="21"/>
      <c r="K7" s="21"/>
      <c r="L7" s="21"/>
      <c r="M7" s="21"/>
      <c r="N7" s="21"/>
      <c r="O7" s="21"/>
    </row>
    <row r="8" spans="1:15">
      <c r="A8" s="21"/>
      <c r="B8" s="37" t="s">
        <v>95</v>
      </c>
      <c r="C8" s="55">
        <v>527034</v>
      </c>
      <c r="D8" s="55">
        <v>0</v>
      </c>
      <c r="E8" s="176">
        <f t="shared" si="0"/>
        <v>0</v>
      </c>
      <c r="F8" s="55"/>
      <c r="G8" s="55">
        <f t="shared" si="1"/>
        <v>0</v>
      </c>
      <c r="H8" s="24">
        <f t="shared" si="2"/>
        <v>0</v>
      </c>
      <c r="I8" s="21"/>
      <c r="J8" s="21"/>
      <c r="K8" s="21"/>
      <c r="L8" s="21"/>
      <c r="M8" s="21"/>
      <c r="N8" s="21"/>
      <c r="O8" s="21"/>
    </row>
    <row r="9" spans="1:15">
      <c r="A9" s="21"/>
      <c r="B9" s="37" t="s">
        <v>96</v>
      </c>
      <c r="C9" s="55">
        <v>4939645</v>
      </c>
      <c r="D9" s="55">
        <v>3556501</v>
      </c>
      <c r="E9" s="176">
        <f t="shared" si="0"/>
        <v>0.71999121394351218</v>
      </c>
      <c r="F9" s="55">
        <v>801279.6753</v>
      </c>
      <c r="G9" s="55">
        <f t="shared" si="1"/>
        <v>4357780.6753000002</v>
      </c>
      <c r="H9" s="24">
        <f t="shared" si="2"/>
        <v>960.28661862053775</v>
      </c>
      <c r="I9" s="21"/>
      <c r="J9" s="21"/>
      <c r="K9" s="21"/>
      <c r="L9" s="21"/>
      <c r="M9" s="21"/>
      <c r="N9" s="21"/>
      <c r="O9" s="21"/>
    </row>
    <row r="10" spans="1:15">
      <c r="A10" s="21"/>
      <c r="B10" s="37" t="s">
        <v>97</v>
      </c>
      <c r="C10" s="55">
        <v>39149611</v>
      </c>
      <c r="D10" s="55">
        <v>37873267</v>
      </c>
      <c r="E10" s="176">
        <f t="shared" si="0"/>
        <v>0.96739829675446842</v>
      </c>
      <c r="F10" s="55">
        <v>5582519.5558000002</v>
      </c>
      <c r="G10" s="55">
        <f t="shared" si="1"/>
        <v>43455786.555799998</v>
      </c>
      <c r="H10" s="24">
        <f t="shared" si="2"/>
        <v>9575.9776456148084</v>
      </c>
      <c r="I10" s="21"/>
      <c r="J10" s="21"/>
      <c r="K10" s="21"/>
      <c r="L10" s="21"/>
      <c r="M10" s="21"/>
      <c r="N10" s="21"/>
      <c r="O10" s="21"/>
    </row>
    <row r="11" spans="1:15">
      <c r="A11" s="21"/>
      <c r="B11" s="37" t="s">
        <v>98</v>
      </c>
      <c r="C11" s="55">
        <v>1673863</v>
      </c>
      <c r="D11" s="55">
        <v>0</v>
      </c>
      <c r="E11" s="176">
        <f t="shared" si="0"/>
        <v>0</v>
      </c>
      <c r="F11" s="55"/>
      <c r="G11" s="55">
        <f t="shared" si="1"/>
        <v>0</v>
      </c>
      <c r="H11" s="24">
        <f t="shared" si="2"/>
        <v>0</v>
      </c>
      <c r="I11" s="21"/>
      <c r="J11" s="21"/>
      <c r="K11" s="21"/>
      <c r="L11" s="21"/>
      <c r="M11" s="21"/>
      <c r="N11" s="21"/>
      <c r="O11" s="21"/>
    </row>
    <row r="12" spans="1:15">
      <c r="A12" s="21"/>
      <c r="B12" s="37" t="s">
        <v>99</v>
      </c>
      <c r="C12" s="55">
        <v>1275995</v>
      </c>
      <c r="D12" s="55">
        <v>1275995</v>
      </c>
      <c r="E12" s="176">
        <f t="shared" si="0"/>
        <v>1</v>
      </c>
      <c r="F12" s="55"/>
      <c r="G12" s="55">
        <f t="shared" si="1"/>
        <v>1275995</v>
      </c>
      <c r="H12" s="24">
        <f t="shared" si="2"/>
        <v>281.18003525782285</v>
      </c>
      <c r="I12" s="21"/>
      <c r="J12" s="242"/>
      <c r="K12" s="21"/>
      <c r="L12" s="21"/>
      <c r="M12" s="21"/>
      <c r="N12" s="21"/>
      <c r="O12" s="21"/>
    </row>
    <row r="13" spans="1:15">
      <c r="A13" s="21"/>
      <c r="B13" s="37" t="s">
        <v>100</v>
      </c>
      <c r="C13" s="55">
        <v>625386</v>
      </c>
      <c r="D13" s="55">
        <v>0</v>
      </c>
      <c r="E13" s="176">
        <f t="shared" si="0"/>
        <v>0</v>
      </c>
      <c r="F13" s="55"/>
      <c r="G13" s="55">
        <f t="shared" si="1"/>
        <v>0</v>
      </c>
      <c r="H13" s="24">
        <f t="shared" si="2"/>
        <v>0</v>
      </c>
      <c r="I13" s="21"/>
      <c r="J13" s="21"/>
      <c r="K13" s="21"/>
      <c r="L13" s="21"/>
      <c r="M13" s="21"/>
      <c r="N13" s="21"/>
      <c r="O13" s="21"/>
    </row>
    <row r="14" spans="1:15">
      <c r="A14" s="21"/>
      <c r="B14" s="37" t="s">
        <v>101</v>
      </c>
      <c r="C14" s="55">
        <v>1057760</v>
      </c>
      <c r="D14" s="55">
        <v>679858</v>
      </c>
      <c r="E14" s="176">
        <f t="shared" si="0"/>
        <v>0.64273370140674635</v>
      </c>
      <c r="F14" s="55"/>
      <c r="G14" s="55">
        <f t="shared" si="1"/>
        <v>679858</v>
      </c>
      <c r="H14" s="24">
        <f t="shared" si="2"/>
        <v>149.81445570736008</v>
      </c>
      <c r="I14" s="21"/>
      <c r="J14" s="21"/>
      <c r="K14" s="21"/>
      <c r="L14" s="21"/>
      <c r="M14" s="21"/>
      <c r="N14" s="21"/>
      <c r="O14" s="21"/>
    </row>
    <row r="15" spans="1:15">
      <c r="A15" s="21"/>
      <c r="B15" s="37" t="s">
        <v>60</v>
      </c>
      <c r="C15" s="55">
        <v>3014090</v>
      </c>
      <c r="D15" s="55">
        <v>2899600</v>
      </c>
      <c r="E15" s="176">
        <f t="shared" si="0"/>
        <v>0.9620150692248739</v>
      </c>
      <c r="F15" s="55"/>
      <c r="G15" s="55">
        <f t="shared" si="1"/>
        <v>2899600</v>
      </c>
      <c r="H15" s="24">
        <f t="shared" si="2"/>
        <v>638.95989422653156</v>
      </c>
      <c r="I15" s="21"/>
      <c r="J15" s="21"/>
      <c r="K15" s="21"/>
      <c r="L15" s="21"/>
      <c r="M15" s="21"/>
      <c r="N15" s="21"/>
      <c r="O15" s="21"/>
    </row>
    <row r="16" spans="1:15">
      <c r="A16" s="21"/>
      <c r="B16" s="37" t="s">
        <v>102</v>
      </c>
      <c r="C16" s="55">
        <v>9177758</v>
      </c>
      <c r="D16" s="55">
        <v>9177758</v>
      </c>
      <c r="E16" s="176">
        <f t="shared" si="0"/>
        <v>1</v>
      </c>
      <c r="F16" s="55"/>
      <c r="G16" s="55">
        <f t="shared" si="1"/>
        <v>9177758</v>
      </c>
      <c r="H16" s="24">
        <f t="shared" si="2"/>
        <v>2022.4235345967386</v>
      </c>
      <c r="I16" s="21"/>
      <c r="J16" s="21"/>
      <c r="K16" s="21"/>
      <c r="L16" s="21"/>
      <c r="M16" s="21"/>
      <c r="N16" s="21"/>
      <c r="O16" s="21"/>
    </row>
    <row r="17" spans="1:15">
      <c r="A17" s="21"/>
      <c r="B17" s="37" t="s">
        <v>103</v>
      </c>
      <c r="C17" s="55">
        <v>580000</v>
      </c>
      <c r="D17" s="55">
        <v>580000</v>
      </c>
      <c r="E17" s="176">
        <f t="shared" si="0"/>
        <v>1</v>
      </c>
      <c r="F17" s="55"/>
      <c r="G17" s="55">
        <f t="shared" si="1"/>
        <v>580000</v>
      </c>
      <c r="H17" s="24">
        <f t="shared" si="2"/>
        <v>127.80960775672102</v>
      </c>
      <c r="I17" s="21"/>
      <c r="J17" s="21"/>
      <c r="K17" s="21"/>
      <c r="L17" s="24"/>
      <c r="M17" s="58"/>
      <c r="N17" s="21"/>
      <c r="O17" s="21"/>
    </row>
    <row r="18" spans="1:15">
      <c r="A18" s="21"/>
      <c r="B18" s="56" t="s">
        <v>39</v>
      </c>
      <c r="C18" s="119">
        <f>SUM(C6:C17)</f>
        <v>66885704</v>
      </c>
      <c r="D18" s="119">
        <f>SUM(D6:D17)</f>
        <v>56042979</v>
      </c>
      <c r="E18" s="120">
        <f t="shared" si="0"/>
        <v>0.83789174141009271</v>
      </c>
      <c r="F18" s="119">
        <f>SUM(F6:F17)</f>
        <v>6383799.2311000004</v>
      </c>
      <c r="G18" s="119">
        <f>SUM(G6:G17)</f>
        <v>62426778.2311</v>
      </c>
      <c r="H18" s="121">
        <f>SUM(H6:H17)</f>
        <v>13756.451791780519</v>
      </c>
      <c r="I18" s="21"/>
      <c r="J18" s="240"/>
      <c r="K18" s="24"/>
      <c r="L18" s="21"/>
      <c r="M18" s="21"/>
      <c r="N18" s="21"/>
      <c r="O18" s="21"/>
    </row>
    <row r="19" spans="1:15">
      <c r="A19" s="21"/>
      <c r="B19" s="21" t="s">
        <v>176</v>
      </c>
      <c r="C19" s="21"/>
      <c r="D19" s="24"/>
      <c r="E19" s="21"/>
      <c r="F19" s="21"/>
      <c r="G19" s="21"/>
      <c r="H19" s="59">
        <v>4538</v>
      </c>
      <c r="I19" s="21"/>
      <c r="J19" s="240"/>
      <c r="K19" s="24"/>
      <c r="L19" s="58"/>
      <c r="M19" s="21"/>
      <c r="N19" s="21"/>
      <c r="O19" s="21"/>
    </row>
    <row r="20" spans="1:15">
      <c r="A20" s="21"/>
      <c r="B20" s="21" t="s">
        <v>45</v>
      </c>
      <c r="C20" s="21"/>
      <c r="D20" s="21"/>
      <c r="E20" s="21"/>
      <c r="F20" s="21"/>
      <c r="G20" s="21"/>
      <c r="H20" s="113">
        <f>ROUNDUP(Schools!E20, 0)</f>
        <v>26</v>
      </c>
      <c r="I20" s="21"/>
      <c r="J20" s="240"/>
      <c r="K20" s="24"/>
      <c r="L20" s="21"/>
      <c r="M20" s="21"/>
      <c r="N20" s="21"/>
      <c r="O20" s="21"/>
    </row>
    <row r="21" spans="1:15" ht="13.5" thickBot="1">
      <c r="A21" s="21"/>
      <c r="B21" s="32" t="s">
        <v>46</v>
      </c>
      <c r="C21" s="32"/>
      <c r="D21" s="32"/>
      <c r="E21" s="32"/>
      <c r="F21" s="35"/>
      <c r="G21" s="35"/>
      <c r="H21" s="46">
        <f>H20*H18</f>
        <v>357667.74658629351</v>
      </c>
      <c r="I21" s="21"/>
      <c r="J21" s="21"/>
      <c r="K21" s="21"/>
      <c r="L21" s="21"/>
      <c r="M21" s="21"/>
      <c r="N21" s="21"/>
      <c r="O21" s="21"/>
    </row>
    <row r="22" spans="1:15">
      <c r="A22" s="21"/>
      <c r="B22" s="21" t="s">
        <v>167</v>
      </c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</row>
    <row r="23" spans="1:15">
      <c r="A23" s="21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</row>
    <row r="24" spans="1:15">
      <c r="A24" s="21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</row>
    <row r="25" spans="1:1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</row>
    <row r="26" spans="1:1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</row>
    <row r="27" spans="1:1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</row>
    <row r="28" spans="1:1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</row>
    <row r="29" spans="1:15">
      <c r="A29" s="21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</row>
    <row r="30" spans="1:15">
      <c r="A30" s="21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</row>
    <row r="31" spans="1:15">
      <c r="A31" s="21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</row>
    <row r="32" spans="1:15">
      <c r="A32" s="21"/>
      <c r="B32" s="21"/>
      <c r="C32" s="21"/>
      <c r="D32" s="21"/>
      <c r="E32" s="21"/>
      <c r="F32" s="21"/>
      <c r="G32" s="21"/>
      <c r="H32" s="114"/>
      <c r="I32" s="114"/>
      <c r="J32" s="21"/>
      <c r="K32" s="21"/>
      <c r="L32" s="21"/>
      <c r="M32" s="21"/>
      <c r="N32" s="21"/>
      <c r="O32" s="21"/>
    </row>
    <row r="33" spans="1:15">
      <c r="A33" s="21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</row>
    <row r="34" spans="1:15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</row>
    <row r="35" spans="1:15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</row>
    <row r="36" spans="1:15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</row>
    <row r="37" spans="1:15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</sheetPr>
  <dimension ref="B2:J10"/>
  <sheetViews>
    <sheetView zoomScale="140" zoomScaleNormal="140" workbookViewId="0">
      <selection activeCell="B6" sqref="B6:E10"/>
    </sheetView>
  </sheetViews>
  <sheetFormatPr defaultColWidth="9.140625" defaultRowHeight="12.75"/>
  <cols>
    <col min="1" max="1" width="9.140625" style="21"/>
    <col min="2" max="2" width="22.7109375" style="21" customWidth="1"/>
    <col min="3" max="3" width="9.42578125" style="36" customWidth="1"/>
    <col min="4" max="4" width="9.7109375" style="21" customWidth="1"/>
    <col min="5" max="5" width="13.42578125" style="21" customWidth="1"/>
    <col min="6" max="9" width="9.140625" style="21"/>
    <col min="10" max="10" width="12" style="21" bestFit="1" customWidth="1"/>
    <col min="11" max="16384" width="9.140625" style="21"/>
  </cols>
  <sheetData>
    <row r="2" spans="2:10" ht="14.25">
      <c r="B2" s="20" t="s">
        <v>28</v>
      </c>
    </row>
    <row r="3" spans="2:10" ht="14.25">
      <c r="B3" s="20" t="s">
        <v>81</v>
      </c>
    </row>
    <row r="4" spans="2:10" ht="15" thickBot="1">
      <c r="B4" s="20" t="s">
        <v>76</v>
      </c>
    </row>
    <row r="5" spans="2:10" ht="28.5" customHeight="1">
      <c r="B5" s="74" t="s">
        <v>27</v>
      </c>
      <c r="C5" s="71" t="s">
        <v>23</v>
      </c>
      <c r="D5" s="67" t="s">
        <v>25</v>
      </c>
      <c r="E5" s="63" t="s">
        <v>26</v>
      </c>
    </row>
    <row r="6" spans="2:10">
      <c r="B6" s="37" t="s">
        <v>120</v>
      </c>
      <c r="C6" s="160">
        <f>Project!C20</f>
        <v>154</v>
      </c>
      <c r="D6" s="64">
        <f>'Residential Unit Costs'!G13</f>
        <v>979.95576544474488</v>
      </c>
      <c r="E6" s="64">
        <f>C6*D6</f>
        <v>150913.18787849072</v>
      </c>
      <c r="J6" s="76"/>
    </row>
    <row r="7" spans="2:10">
      <c r="B7" s="37" t="s">
        <v>119</v>
      </c>
      <c r="C7" s="161">
        <f>IFERROR(Economic!C10,0)</f>
        <v>1223.2969565217393</v>
      </c>
      <c r="D7" s="65">
        <f>'Commercial Unit Costs'!G13</f>
        <v>75.495515958859471</v>
      </c>
      <c r="E7" s="65">
        <f>C7*D7</f>
        <v>92353.434903511181</v>
      </c>
      <c r="J7" s="76"/>
    </row>
    <row r="8" spans="2:10">
      <c r="B8" s="38" t="s">
        <v>24</v>
      </c>
      <c r="C8" s="162">
        <f>'Schools Cost'!H20</f>
        <v>26</v>
      </c>
      <c r="D8" s="62">
        <f>'Schools Cost'!H18</f>
        <v>13756.451791780519</v>
      </c>
      <c r="E8" s="66">
        <f>C8*D8</f>
        <v>357667.74658629351</v>
      </c>
      <c r="J8" s="76"/>
    </row>
    <row r="9" spans="2:10" ht="13.5" thickBot="1">
      <c r="B9" s="68" t="s">
        <v>12</v>
      </c>
      <c r="C9" s="69"/>
      <c r="D9" s="70"/>
      <c r="E9" s="73">
        <f>E6+E7+E8</f>
        <v>600934.36936829542</v>
      </c>
      <c r="J9" s="76"/>
    </row>
    <row r="10" spans="2:10">
      <c r="B10" s="21" t="s">
        <v>80</v>
      </c>
    </row>
  </sheetData>
  <pageMargins left="0.7" right="0.7" top="0.75" bottom="0.75" header="0.3" footer="0.3"/>
  <pageSetup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B050"/>
  </sheetPr>
  <dimension ref="B2:K18"/>
  <sheetViews>
    <sheetView tabSelected="1" zoomScale="140" zoomScaleNormal="140" workbookViewId="0">
      <selection activeCell="L18" sqref="L18"/>
    </sheetView>
  </sheetViews>
  <sheetFormatPr defaultColWidth="9.140625" defaultRowHeight="12.75"/>
  <cols>
    <col min="1" max="1" width="9.140625" style="21"/>
    <col min="2" max="2" width="44.85546875" style="21" customWidth="1"/>
    <col min="3" max="3" width="11.7109375" style="24" customWidth="1"/>
    <col min="4" max="9" width="9.140625" style="21"/>
    <col min="10" max="11" width="9.85546875" style="21" bestFit="1" customWidth="1"/>
    <col min="12" max="16384" width="9.140625" style="21"/>
  </cols>
  <sheetData>
    <row r="2" spans="2:11" ht="14.25">
      <c r="B2" s="20" t="s">
        <v>29</v>
      </c>
    </row>
    <row r="3" spans="2:11" ht="14.25">
      <c r="B3" s="20" t="s">
        <v>82</v>
      </c>
    </row>
    <row r="4" spans="2:11" ht="15" thickBot="1">
      <c r="B4" s="31" t="s">
        <v>76</v>
      </c>
      <c r="C4" s="46"/>
    </row>
    <row r="5" spans="2:11">
      <c r="B5" s="77" t="s">
        <v>22</v>
      </c>
      <c r="C5" s="78">
        <f>Revenues!G12</f>
        <v>493292.92699999997</v>
      </c>
    </row>
    <row r="6" spans="2:11">
      <c r="B6" s="77" t="s">
        <v>21</v>
      </c>
      <c r="C6" s="24">
        <f>Revenues!F27</f>
        <v>1176903.00416</v>
      </c>
    </row>
    <row r="7" spans="2:11">
      <c r="B7" s="77" t="s">
        <v>69</v>
      </c>
      <c r="C7" s="24">
        <f>'Car Tax'!C25</f>
        <v>8414.8413673690702</v>
      </c>
    </row>
    <row r="8" spans="2:11" ht="13.5" thickBot="1">
      <c r="B8" s="77" t="s">
        <v>153</v>
      </c>
      <c r="C8" s="24">
        <f>'Hotel Tax'!F15</f>
        <v>528380.424</v>
      </c>
    </row>
    <row r="9" spans="2:11" ht="13.5" thickBot="1">
      <c r="B9" s="79" t="s">
        <v>40</v>
      </c>
      <c r="C9" s="80">
        <f>C5+C6+C7+C8</f>
        <v>2206991.1965273689</v>
      </c>
      <c r="E9" s="24"/>
    </row>
    <row r="10" spans="2:11" ht="13.5" thickTop="1">
      <c r="B10" s="21" t="s">
        <v>131</v>
      </c>
      <c r="C10" s="204">
        <f>'Summary of Costs'!E6</f>
        <v>150913.18787849072</v>
      </c>
      <c r="E10" s="24"/>
      <c r="J10" s="24"/>
    </row>
    <row r="11" spans="2:11">
      <c r="B11" s="21" t="s">
        <v>132</v>
      </c>
      <c r="C11" s="204">
        <f>'Summary of Costs'!E7</f>
        <v>92353.434903511181</v>
      </c>
      <c r="E11" s="24"/>
      <c r="J11" s="24"/>
    </row>
    <row r="12" spans="2:11" ht="13.5" thickBot="1">
      <c r="B12" s="21" t="s">
        <v>13</v>
      </c>
      <c r="C12" s="205">
        <f>'Summary of Costs'!E8</f>
        <v>357667.74658629351</v>
      </c>
      <c r="E12" s="24"/>
      <c r="J12" s="24"/>
      <c r="K12" s="24"/>
    </row>
    <row r="13" spans="2:11" ht="13.5" thickBot="1">
      <c r="B13" s="79" t="s">
        <v>41</v>
      </c>
      <c r="C13" s="206">
        <f>SUM(C10:C12)</f>
        <v>600934.36936829542</v>
      </c>
      <c r="E13" s="24"/>
    </row>
    <row r="14" spans="2:11" ht="21" customHeight="1" thickTop="1" thickBot="1">
      <c r="B14" s="81" t="s">
        <v>47</v>
      </c>
      <c r="C14" s="82">
        <f>C9-C13</f>
        <v>1606056.8271590734</v>
      </c>
      <c r="E14" s="213"/>
    </row>
    <row r="15" spans="2:11" ht="12.75" customHeight="1">
      <c r="B15" s="84"/>
      <c r="C15" s="108"/>
      <c r="E15" s="213"/>
    </row>
    <row r="16" spans="2:11" ht="12.75" customHeight="1">
      <c r="B16" s="202" t="s">
        <v>70</v>
      </c>
      <c r="C16" s="203">
        <f>Revenues!G12*0.015+Revenues!F27*0.015</f>
        <v>25052.938967399998</v>
      </c>
      <c r="E16" s="213"/>
    </row>
    <row r="17" spans="2:6" ht="18" customHeight="1">
      <c r="B17" s="21" t="s">
        <v>80</v>
      </c>
    </row>
    <row r="18" spans="2:6">
      <c r="F18" s="214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</sheetPr>
  <dimension ref="A1:N27"/>
  <sheetViews>
    <sheetView showGridLines="0" topLeftCell="A12" zoomScale="150" zoomScaleNormal="150" workbookViewId="0">
      <selection activeCell="B20" sqref="B20:C26"/>
    </sheetView>
  </sheetViews>
  <sheetFormatPr defaultColWidth="8.85546875" defaultRowHeight="12.75"/>
  <cols>
    <col min="1" max="1" width="8.85546875" style="34"/>
    <col min="2" max="2" width="38.42578125" style="34" customWidth="1"/>
    <col min="3" max="3" width="11.42578125" style="34" customWidth="1"/>
    <col min="4" max="4" width="2.42578125" style="34" customWidth="1"/>
    <col min="5" max="5" width="14.42578125" style="34" bestFit="1" customWidth="1"/>
    <col min="6" max="6" width="14" style="34" customWidth="1"/>
    <col min="7" max="7" width="4.42578125" style="34" customWidth="1"/>
    <col min="8" max="11" width="8.85546875" style="34"/>
    <col min="12" max="12" width="13.42578125" style="34" bestFit="1" customWidth="1"/>
    <col min="13" max="16384" width="8.85546875" style="34"/>
  </cols>
  <sheetData>
    <row r="1" spans="1:14">
      <c r="A1" s="109"/>
      <c r="B1" s="109"/>
      <c r="C1" s="109"/>
      <c r="D1" s="109"/>
      <c r="E1" s="109"/>
      <c r="F1" s="188"/>
      <c r="G1" s="188"/>
      <c r="H1" s="109"/>
    </row>
    <row r="2" spans="1:14" ht="14.25">
      <c r="A2" s="215"/>
      <c r="B2" s="216"/>
      <c r="C2" s="215"/>
      <c r="D2" s="215"/>
      <c r="E2" s="215"/>
      <c r="F2" s="217"/>
      <c r="G2" s="217"/>
      <c r="H2" s="215"/>
      <c r="I2" s="77"/>
      <c r="J2" s="77"/>
      <c r="K2" s="77"/>
      <c r="L2" s="77"/>
      <c r="M2" s="77"/>
      <c r="N2" s="77"/>
    </row>
    <row r="3" spans="1:14" ht="14.25">
      <c r="A3" s="215"/>
      <c r="B3" s="216"/>
      <c r="C3" s="215"/>
      <c r="D3" s="215"/>
      <c r="E3" s="215"/>
      <c r="F3" s="217"/>
      <c r="G3" s="217"/>
      <c r="H3" s="215"/>
      <c r="I3" s="215"/>
      <c r="J3" s="215"/>
      <c r="K3" s="215"/>
      <c r="L3" s="215"/>
      <c r="M3" s="215"/>
      <c r="N3" s="215"/>
    </row>
    <row r="4" spans="1:14" ht="14.25">
      <c r="A4" s="215"/>
      <c r="B4" s="218"/>
      <c r="C4" s="215"/>
      <c r="D4" s="215"/>
      <c r="E4" s="215"/>
      <c r="F4" s="217"/>
      <c r="G4" s="217"/>
      <c r="H4" s="215"/>
      <c r="I4" s="215"/>
      <c r="J4" s="215"/>
      <c r="K4" s="215"/>
      <c r="L4" s="215"/>
      <c r="M4" s="215"/>
      <c r="N4" s="215"/>
    </row>
    <row r="5" spans="1:14">
      <c r="A5" s="215"/>
      <c r="B5" s="215"/>
      <c r="C5" s="219"/>
      <c r="D5" s="215"/>
      <c r="E5" s="215"/>
      <c r="F5" s="217"/>
      <c r="G5" s="217"/>
      <c r="H5" s="215"/>
      <c r="I5" s="215"/>
      <c r="J5" s="215"/>
      <c r="K5" s="215"/>
      <c r="L5" s="215"/>
      <c r="M5" s="215"/>
      <c r="N5" s="215"/>
    </row>
    <row r="6" spans="1:14">
      <c r="A6" s="215"/>
      <c r="B6" s="215"/>
      <c r="C6" s="220"/>
      <c r="D6" s="215"/>
      <c r="E6" s="215"/>
      <c r="F6" s="217"/>
      <c r="G6" s="217"/>
      <c r="H6" s="215"/>
      <c r="I6" s="215"/>
      <c r="J6" s="215"/>
      <c r="K6" s="215"/>
      <c r="L6" s="215"/>
      <c r="M6" s="215"/>
      <c r="N6" s="215"/>
    </row>
    <row r="7" spans="1:14">
      <c r="A7" s="215"/>
      <c r="B7" s="215"/>
      <c r="C7" s="221"/>
      <c r="D7" s="215"/>
      <c r="E7" s="215"/>
      <c r="F7" s="217"/>
      <c r="G7" s="217"/>
      <c r="H7" s="215"/>
      <c r="I7" s="215"/>
      <c r="J7" s="215"/>
      <c r="K7" s="215"/>
      <c r="L7" s="215"/>
      <c r="M7" s="215"/>
      <c r="N7" s="215"/>
    </row>
    <row r="8" spans="1:14">
      <c r="A8" s="215"/>
      <c r="B8" s="215"/>
      <c r="C8" s="222"/>
      <c r="D8" s="215"/>
      <c r="E8" s="215"/>
      <c r="F8" s="217"/>
      <c r="G8" s="217"/>
      <c r="H8" s="215"/>
      <c r="I8" s="215"/>
      <c r="J8" s="215"/>
      <c r="K8" s="215"/>
      <c r="L8" s="215"/>
      <c r="M8" s="215"/>
      <c r="N8" s="215"/>
    </row>
    <row r="9" spans="1:14">
      <c r="A9" s="215"/>
      <c r="B9" s="223"/>
      <c r="C9" s="224"/>
      <c r="D9" s="215"/>
      <c r="E9" s="215"/>
      <c r="F9" s="217"/>
      <c r="G9" s="217"/>
      <c r="H9" s="215"/>
      <c r="I9" s="215"/>
      <c r="J9" s="215"/>
      <c r="K9" s="215"/>
      <c r="L9" s="215"/>
      <c r="M9" s="215"/>
      <c r="N9" s="215"/>
    </row>
    <row r="10" spans="1:14">
      <c r="A10" s="215"/>
      <c r="B10" s="225"/>
      <c r="C10" s="215"/>
      <c r="D10" s="215"/>
      <c r="E10" s="215"/>
      <c r="F10" s="217"/>
      <c r="G10" s="217"/>
      <c r="H10" s="215"/>
      <c r="I10" s="215"/>
      <c r="J10" s="215"/>
      <c r="K10" s="215"/>
      <c r="L10" s="215"/>
      <c r="M10" s="215"/>
      <c r="N10" s="215"/>
    </row>
    <row r="11" spans="1:14">
      <c r="A11" s="215"/>
      <c r="B11" s="226"/>
      <c r="C11" s="215"/>
      <c r="D11" s="215"/>
      <c r="E11" s="215"/>
      <c r="F11" s="217"/>
      <c r="G11" s="217"/>
      <c r="H11" s="215"/>
      <c r="I11" s="215"/>
      <c r="J11" s="215"/>
      <c r="K11" s="215"/>
      <c r="L11" s="215"/>
      <c r="M11" s="215"/>
      <c r="N11" s="215"/>
    </row>
    <row r="12" spans="1:14">
      <c r="A12" s="215"/>
      <c r="B12" s="215"/>
      <c r="C12" s="227"/>
      <c r="D12" s="215"/>
      <c r="E12" s="215"/>
      <c r="F12" s="215"/>
      <c r="G12" s="217"/>
      <c r="H12" s="215"/>
      <c r="I12" s="215"/>
      <c r="J12" s="215"/>
      <c r="K12" s="215"/>
      <c r="L12" s="215"/>
      <c r="M12" s="215"/>
      <c r="N12" s="215"/>
    </row>
    <row r="13" spans="1:14">
      <c r="A13" s="215"/>
      <c r="B13" s="215"/>
      <c r="C13" s="215"/>
      <c r="D13" s="227"/>
      <c r="E13" s="215"/>
      <c r="F13" s="215"/>
      <c r="G13" s="215"/>
      <c r="H13" s="215"/>
      <c r="I13" s="215"/>
      <c r="J13" s="215"/>
      <c r="K13" s="215"/>
      <c r="L13" s="215"/>
      <c r="M13" s="215"/>
      <c r="N13" s="215"/>
    </row>
    <row r="14" spans="1:14">
      <c r="A14" s="215"/>
      <c r="B14" s="228"/>
      <c r="C14" s="215"/>
      <c r="D14" s="227"/>
      <c r="E14" s="215"/>
      <c r="F14" s="215"/>
      <c r="G14" s="215"/>
      <c r="H14" s="215"/>
      <c r="I14" s="215"/>
      <c r="J14" s="226"/>
      <c r="K14" s="226"/>
      <c r="L14" s="226"/>
      <c r="M14" s="226"/>
      <c r="N14" s="215"/>
    </row>
    <row r="15" spans="1:14">
      <c r="A15" s="77"/>
      <c r="B15" s="77"/>
      <c r="C15" s="77"/>
      <c r="D15" s="78"/>
      <c r="E15" s="77"/>
      <c r="F15" s="77"/>
      <c r="G15" s="77"/>
      <c r="H15" s="77"/>
      <c r="I15" s="215"/>
      <c r="J15" s="215"/>
      <c r="K15" s="215"/>
      <c r="L15" s="215"/>
      <c r="M15" s="215"/>
      <c r="N15" s="215"/>
    </row>
    <row r="16" spans="1:14">
      <c r="A16" s="229"/>
      <c r="B16" s="230"/>
      <c r="C16" s="230"/>
      <c r="D16" s="231"/>
      <c r="E16" s="230"/>
      <c r="F16" s="232"/>
      <c r="I16" s="109"/>
      <c r="J16" s="109"/>
      <c r="K16" s="109"/>
      <c r="L16" s="109"/>
      <c r="M16" s="109"/>
      <c r="N16" s="109"/>
    </row>
    <row r="17" spans="1:6" ht="14.25">
      <c r="A17" s="181"/>
      <c r="B17" s="182" t="s">
        <v>28</v>
      </c>
      <c r="F17" s="183"/>
    </row>
    <row r="18" spans="1:6" ht="14.25">
      <c r="A18" s="181"/>
      <c r="B18" s="182" t="s">
        <v>143</v>
      </c>
      <c r="F18" s="183"/>
    </row>
    <row r="19" spans="1:6" ht="15" thickBot="1">
      <c r="A19" s="181"/>
      <c r="B19" s="31" t="s">
        <v>76</v>
      </c>
      <c r="C19" s="48"/>
      <c r="F19" s="183"/>
    </row>
    <row r="20" spans="1:6">
      <c r="A20" s="181"/>
      <c r="B20" s="34" t="s">
        <v>168</v>
      </c>
      <c r="C20" s="244">
        <v>21023</v>
      </c>
      <c r="F20" s="183"/>
    </row>
    <row r="21" spans="1:6">
      <c r="A21" s="181"/>
      <c r="B21" s="34" t="s">
        <v>169</v>
      </c>
      <c r="C21" s="184">
        <v>4030649.58</v>
      </c>
      <c r="F21" s="183"/>
    </row>
    <row r="22" spans="1:6">
      <c r="A22" s="181"/>
      <c r="B22" s="34" t="s">
        <v>170</v>
      </c>
      <c r="C22" s="245">
        <f>C21/C20</f>
        <v>191.72570898539695</v>
      </c>
      <c r="F22" s="183"/>
    </row>
    <row r="23" spans="1:6">
      <c r="A23" s="181"/>
      <c r="B23" s="34" t="s">
        <v>171</v>
      </c>
      <c r="C23" s="246">
        <v>0.3</v>
      </c>
      <c r="F23" s="183"/>
    </row>
    <row r="24" spans="1:6">
      <c r="A24" s="181"/>
      <c r="B24" s="34" t="s">
        <v>172</v>
      </c>
      <c r="C24" s="247">
        <f>Project!D20</f>
        <v>146.29999999999998</v>
      </c>
      <c r="F24" s="183"/>
    </row>
    <row r="25" spans="1:6" ht="13.5" thickBot="1">
      <c r="A25" s="181"/>
      <c r="B25" s="49" t="s">
        <v>173</v>
      </c>
      <c r="C25" s="248">
        <f>C24*C23*C22</f>
        <v>8414.8413673690702</v>
      </c>
      <c r="F25" s="183"/>
    </row>
    <row r="26" spans="1:6">
      <c r="A26" s="181"/>
      <c r="B26" s="185" t="s">
        <v>174</v>
      </c>
      <c r="F26" s="183"/>
    </row>
    <row r="27" spans="1:6" ht="13.5" thickBot="1">
      <c r="A27" s="186"/>
      <c r="B27" s="48"/>
      <c r="C27" s="48"/>
      <c r="D27" s="48"/>
      <c r="E27" s="48"/>
      <c r="F27" s="187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169F4DCEE4AE4CA7E5DFD78F8AD9B4" ma:contentTypeVersion="19" ma:contentTypeDescription="Create a new document." ma:contentTypeScope="" ma:versionID="9215bc339dbb5582a03d160c00a761e6">
  <xsd:schema xmlns:xsd="http://www.w3.org/2001/XMLSchema" xmlns:xs="http://www.w3.org/2001/XMLSchema" xmlns:p="http://schemas.microsoft.com/office/2006/metadata/properties" xmlns:ns2="3d2a78fe-efba-4436-b31c-86aead3eece3" xmlns:ns3="513b6b0b-a28f-405d-a4da-c53e10c07217" targetNamespace="http://schemas.microsoft.com/office/2006/metadata/properties" ma:root="true" ma:fieldsID="c1f11b1de8a4ec6bbbdba6213adaf9a5" ns2:_="" ns3:_="">
    <xsd:import namespace="3d2a78fe-efba-4436-b31c-86aead3eece3"/>
    <xsd:import namespace="513b6b0b-a28f-405d-a4da-c53e10c072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2a78fe-efba-4436-b31c-86aead3eece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784cdf5f-efe9-4297-83bf-aac670af0ee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3b6b0b-a28f-405d-a4da-c53e10c0721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e99a3cb-001f-4acf-8343-50e74b0f0f02}" ma:internalName="TaxCatchAll" ma:showField="CatchAllData" ma:web="513b6b0b-a28f-405d-a4da-c53e10c072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13b6b0b-a28f-405d-a4da-c53e10c07217" xsi:nil="true"/>
    <lcf76f155ced4ddcb4097134ff3c332f xmlns="3d2a78fe-efba-4436-b31c-86aead3eece3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373B063-46BB-415C-8A7B-03C5E5776FD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C9B1CEE-C1D5-4070-95D1-C9262431F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2a78fe-efba-4436-b31c-86aead3eece3"/>
    <ds:schemaRef ds:uri="513b6b0b-a28f-405d-a4da-c53e10c072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61DC1-752C-4C58-87D9-13F920351CE5}">
  <ds:schemaRefs>
    <ds:schemaRef ds:uri="http://purl.org/dc/terms/"/>
    <ds:schemaRef ds:uri="http://schemas.microsoft.com/office/infopath/2007/PartnerControls"/>
    <ds:schemaRef ds:uri="http://purl.org/dc/elements/1.1/"/>
    <ds:schemaRef ds:uri="http://purl.org/dc/dcmitype/"/>
    <ds:schemaRef ds:uri="http://www.w3.org/XML/1998/namespace"/>
    <ds:schemaRef ds:uri="http://schemas.microsoft.com/office/2006/documentManagement/types"/>
    <ds:schemaRef ds:uri="3d2a78fe-efba-4436-b31c-86aead3eece3"/>
    <ds:schemaRef ds:uri="http://schemas.openxmlformats.org/package/2006/metadata/core-properties"/>
    <ds:schemaRef ds:uri="513b6b0b-a28f-405d-a4da-c53e10c0721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Project</vt:lpstr>
      <vt:lpstr>Residential Unit Costs</vt:lpstr>
      <vt:lpstr>Commercial Unit Costs</vt:lpstr>
      <vt:lpstr>Revenues</vt:lpstr>
      <vt:lpstr>Schools</vt:lpstr>
      <vt:lpstr>Schools Cost</vt:lpstr>
      <vt:lpstr>Summary of Costs</vt:lpstr>
      <vt:lpstr>Fiscal Impact Summary</vt:lpstr>
      <vt:lpstr>Car Tax</vt:lpstr>
      <vt:lpstr>Hotel Tax</vt:lpstr>
      <vt:lpstr>Economic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Taylor Yewell</dc:creator>
  <cp:lastModifiedBy>Ryan, Christopher</cp:lastModifiedBy>
  <dcterms:created xsi:type="dcterms:W3CDTF">2015-08-06T16:33:59Z</dcterms:created>
  <dcterms:modified xsi:type="dcterms:W3CDTF">2025-08-27T12:30:42Z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0x0101001A169F4DCEE4AE4CA7E5DFD78F8AD9B4</vt:lpwstr>
  </property>
  <property fmtid="{D5CDD505-2E9C-101B-9397-08002B2CF9AE}" pid="3" name="MediaServiceImageTags">
    <vt:lpwstr/>
  </property>
</Properties>
</file>