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J:\CHRISTOPHER RYAN\CENTER &amp; BRIGHTON PROJECTS\Belmont Ctr-Leonard St Project\Buildout and FIA\FISCAL IMPACT ANALYSIS\Modeled Scenarios\"/>
    </mc:Choice>
  </mc:AlternateContent>
  <xr:revisionPtr revIDLastSave="0" documentId="8_{4CB52584-2834-4DF1-A636-BBB75D6EF9EA}" xr6:coauthVersionLast="47" xr6:coauthVersionMax="47" xr10:uidLastSave="{00000000-0000-0000-0000-000000000000}"/>
  <workbookProtection workbookAlgorithmName="SHA-512" workbookHashValue="DcDOO75zZJGyAIJgZ0UCVmQnM1yv0bJojWAmYOYOiC3TWMKG2NjNendyOBbRex3vRJFLdxNefYqY04yg9x1QGg==" workbookSaltValue="+EEpe73qI3BqYst1ofdtHg==" workbookSpinCount="100000" lockStructure="1"/>
  <bookViews>
    <workbookView xWindow="7605" yWindow="720" windowWidth="29325" windowHeight="19170" activeTab="2" xr2:uid="{3230A115-B1F6-4D5E-B8E0-831CC7719DC7}"/>
  </bookViews>
  <sheets>
    <sheet name="Full_Buildout" sheetId="1" r:id="rId1"/>
    <sheet name="Summary" sheetId="2" r:id="rId2"/>
    <sheet name="Scenarios" sheetId="4" r:id="rId3"/>
  </sheets>
  <definedNames>
    <definedName name="_xlnm.Print_Area" localSheetId="0">Full_Buildout!$AD$78:$AM$143</definedName>
    <definedName name="_xlnm.Print_Area" localSheetId="2">Scenarios!$A$1:$P$24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0" i="4" l="1"/>
  <c r="C29" i="4"/>
  <c r="C28" i="4"/>
  <c r="C27" i="4"/>
  <c r="C26" i="4"/>
  <c r="C25" i="4"/>
  <c r="C24" i="4"/>
  <c r="C23" i="4"/>
  <c r="C22" i="4"/>
  <c r="C21" i="4"/>
  <c r="C20" i="4"/>
  <c r="C19" i="4"/>
  <c r="F7" i="4" l="1"/>
  <c r="K29" i="4"/>
  <c r="K43" i="4"/>
  <c r="K39" i="4"/>
  <c r="K38" i="4"/>
  <c r="K37" i="4"/>
  <c r="K32" i="4"/>
  <c r="K31" i="4"/>
  <c r="O23" i="4"/>
  <c r="J23" i="4"/>
  <c r="N22" i="4"/>
  <c r="I22" i="4"/>
  <c r="N21" i="4"/>
  <c r="I21" i="4"/>
  <c r="P18" i="4"/>
  <c r="K18" i="4"/>
  <c r="N17" i="4"/>
  <c r="N19" i="4" s="1"/>
  <c r="P19" i="4" s="1"/>
  <c r="I17" i="4"/>
  <c r="I19" i="4" s="1"/>
  <c r="K19" i="4" s="1"/>
  <c r="N16" i="4"/>
  <c r="P16" i="4" s="1"/>
  <c r="I16" i="4"/>
  <c r="K16" i="4" s="1"/>
  <c r="O7" i="4"/>
  <c r="N7" i="4"/>
  <c r="P7" i="4" s="1"/>
  <c r="K7" i="4"/>
  <c r="P6" i="4"/>
  <c r="K6" i="4"/>
  <c r="P5" i="4"/>
  <c r="K5" i="4"/>
  <c r="F5" i="4"/>
  <c r="E5" i="4"/>
  <c r="E7" i="4" s="1"/>
  <c r="D5" i="4"/>
  <c r="D7" i="4" s="1"/>
  <c r="C5" i="4"/>
  <c r="C7" i="4" s="1"/>
  <c r="P4" i="4"/>
  <c r="K4" i="4"/>
  <c r="F3" i="4"/>
  <c r="E3" i="4"/>
  <c r="D3" i="4"/>
  <c r="C3" i="4"/>
  <c r="C13" i="4" l="1"/>
  <c r="C16" i="4"/>
  <c r="C10" i="4"/>
  <c r="E13" i="4"/>
  <c r="E10" i="4"/>
  <c r="E16" i="4"/>
  <c r="D13" i="4"/>
  <c r="D16" i="4"/>
  <c r="D10" i="4"/>
  <c r="F13" i="4"/>
  <c r="F10" i="4"/>
  <c r="F16" i="4"/>
  <c r="K17" i="4"/>
  <c r="P17" i="4"/>
  <c r="AJ61" i="1" l="1"/>
  <c r="AJ63" i="1"/>
  <c r="AJ62" i="1"/>
  <c r="C11" i="2" l="1"/>
  <c r="C12" i="2"/>
  <c r="G23" i="2" s="1"/>
  <c r="G20" i="2" s="1"/>
  <c r="B11" i="2"/>
  <c r="B12" i="2"/>
  <c r="C4" i="2"/>
  <c r="F22" i="2" s="1"/>
  <c r="F19" i="2" s="1"/>
  <c r="D4" i="2"/>
  <c r="D5" i="2"/>
  <c r="B4" i="2"/>
  <c r="B5" i="2"/>
  <c r="D3" i="2"/>
  <c r="AJ140" i="1"/>
  <c r="AJ139" i="1"/>
  <c r="AJ138" i="1"/>
  <c r="AG56" i="1"/>
  <c r="C5" i="2" s="1"/>
  <c r="G22" i="2" s="1"/>
  <c r="G19" i="2" s="1"/>
  <c r="T51" i="1"/>
  <c r="S51" i="1"/>
  <c r="AH50" i="1"/>
  <c r="AI118" i="1"/>
  <c r="AM118" i="1" s="1"/>
  <c r="AI117" i="1"/>
  <c r="AM117" i="1" s="1"/>
  <c r="AH40" i="1"/>
  <c r="AH41" i="1"/>
  <c r="AH6" i="1"/>
  <c r="AH9" i="1"/>
  <c r="AH11" i="1"/>
  <c r="AH12" i="1"/>
  <c r="AH13" i="1"/>
  <c r="AH14" i="1"/>
  <c r="AH15" i="1"/>
  <c r="AH17" i="1"/>
  <c r="AI141" i="1"/>
  <c r="AK140" i="1"/>
  <c r="AM140" i="1" s="1"/>
  <c r="AK139" i="1"/>
  <c r="AM139" i="1" s="1"/>
  <c r="AK138" i="1"/>
  <c r="AM138" i="1" s="1"/>
  <c r="AK128" i="1"/>
  <c r="AJ128" i="1"/>
  <c r="AI127" i="1"/>
  <c r="AM127" i="1" s="1"/>
  <c r="AM126" i="1"/>
  <c r="AM125" i="1"/>
  <c r="AM124" i="1"/>
  <c r="AM123" i="1"/>
  <c r="AM122" i="1"/>
  <c r="AM121" i="1"/>
  <c r="AM120" i="1"/>
  <c r="AM119" i="1"/>
  <c r="AI116" i="1"/>
  <c r="AI115" i="1"/>
  <c r="AM115" i="1" s="1"/>
  <c r="AM114" i="1"/>
  <c r="AM113" i="1"/>
  <c r="AM112" i="1"/>
  <c r="AM111" i="1"/>
  <c r="AM110" i="1"/>
  <c r="AI109" i="1"/>
  <c r="AM109" i="1" s="1"/>
  <c r="AM108" i="1"/>
  <c r="AM107" i="1"/>
  <c r="AM106" i="1"/>
  <c r="AM105" i="1"/>
  <c r="AM104" i="1"/>
  <c r="AM103" i="1"/>
  <c r="AM102" i="1"/>
  <c r="AM101" i="1"/>
  <c r="AM100" i="1"/>
  <c r="AM99" i="1"/>
  <c r="AM98" i="1"/>
  <c r="AM97" i="1"/>
  <c r="AH96" i="1"/>
  <c r="AM96" i="1" s="1"/>
  <c r="AI94" i="1"/>
  <c r="AM94" i="1" s="1"/>
  <c r="AM93" i="1"/>
  <c r="AI92" i="1"/>
  <c r="AM92" i="1" s="1"/>
  <c r="AI91" i="1"/>
  <c r="AM91" i="1" s="1"/>
  <c r="AI90" i="1"/>
  <c r="AM90" i="1" s="1"/>
  <c r="AI89" i="1"/>
  <c r="AM89" i="1" s="1"/>
  <c r="AI88" i="1"/>
  <c r="AM88" i="1" s="1"/>
  <c r="AM87" i="1"/>
  <c r="AI86" i="1"/>
  <c r="AM86" i="1" s="1"/>
  <c r="AM85" i="1"/>
  <c r="AM84" i="1"/>
  <c r="AI83" i="1"/>
  <c r="AM83" i="1" s="1"/>
  <c r="AM82" i="1"/>
  <c r="AI81" i="1"/>
  <c r="AM81" i="1" s="1"/>
  <c r="W52" i="1"/>
  <c r="AB53" i="1"/>
  <c r="AK63" i="1"/>
  <c r="AM63" i="1" s="1"/>
  <c r="AK62" i="1"/>
  <c r="AM62" i="1" s="1"/>
  <c r="AK61" i="1"/>
  <c r="AM61" i="1" s="1"/>
  <c r="X52" i="1"/>
  <c r="X51" i="1"/>
  <c r="AJ141" i="1" l="1"/>
  <c r="AM141" i="1"/>
  <c r="AM142" i="1" s="1"/>
  <c r="AJ64" i="1"/>
  <c r="AH133" i="1"/>
  <c r="D12" i="2" s="1"/>
  <c r="AM64" i="1"/>
  <c r="AM65" i="1" s="1"/>
  <c r="AK141" i="1"/>
  <c r="AK64" i="1"/>
  <c r="AI128" i="1"/>
  <c r="AG128" i="1"/>
  <c r="AF128" i="1"/>
  <c r="AM116" i="1"/>
  <c r="AH128" i="1"/>
  <c r="P53" i="1"/>
  <c r="Q53" i="1"/>
  <c r="O53" i="1"/>
  <c r="O51" i="1"/>
  <c r="Q51" i="1"/>
  <c r="P51" i="1"/>
  <c r="AJ51" i="1"/>
  <c r="AK51" i="1"/>
  <c r="AH19" i="1"/>
  <c r="AM19" i="1" s="1"/>
  <c r="AM50" i="1"/>
  <c r="U50" i="1"/>
  <c r="AB50" i="1" s="1"/>
  <c r="AM41" i="1"/>
  <c r="AB42" i="1"/>
  <c r="U41" i="1"/>
  <c r="V41" i="1" s="1"/>
  <c r="V40" i="1"/>
  <c r="U40" i="1"/>
  <c r="AM37" i="1"/>
  <c r="U35" i="1"/>
  <c r="AB35" i="1" s="1"/>
  <c r="AM35" i="1" s="1"/>
  <c r="U36" i="1"/>
  <c r="AB36" i="1" s="1"/>
  <c r="AM36" i="1" s="1"/>
  <c r="V39" i="1"/>
  <c r="U39" i="1"/>
  <c r="V38" i="1"/>
  <c r="U38" i="1"/>
  <c r="U34" i="1"/>
  <c r="AB43" i="1"/>
  <c r="AB44" i="1"/>
  <c r="AB45" i="1"/>
  <c r="AB46" i="1"/>
  <c r="AB47" i="1"/>
  <c r="AB48" i="1"/>
  <c r="AB49" i="1"/>
  <c r="AI32" i="1"/>
  <c r="AM32" i="1" s="1"/>
  <c r="U32" i="1"/>
  <c r="AB31" i="1"/>
  <c r="AB28" i="1"/>
  <c r="AB29" i="1"/>
  <c r="U23" i="1"/>
  <c r="AB23" i="1" s="1"/>
  <c r="U21" i="1"/>
  <c r="AB20" i="1"/>
  <c r="AB22" i="1"/>
  <c r="AB33" i="1"/>
  <c r="AB19" i="1"/>
  <c r="AF18" i="1"/>
  <c r="AG18" i="1" s="1"/>
  <c r="AM18" i="1" s="1"/>
  <c r="AB18" i="1"/>
  <c r="AM30" i="1"/>
  <c r="AB24" i="1"/>
  <c r="AB25" i="1"/>
  <c r="AM23" i="1"/>
  <c r="AB30" i="1"/>
  <c r="AB26" i="1"/>
  <c r="AB27" i="1"/>
  <c r="AM48" i="1"/>
  <c r="AM49" i="1"/>
  <c r="AM47" i="1"/>
  <c r="AM20" i="1"/>
  <c r="AM21" i="1"/>
  <c r="AM24" i="1"/>
  <c r="AM25" i="1"/>
  <c r="AM26" i="1"/>
  <c r="AM27" i="1"/>
  <c r="AM28" i="1"/>
  <c r="AM29" i="1"/>
  <c r="AM31" i="1"/>
  <c r="AM33" i="1"/>
  <c r="AM40" i="1"/>
  <c r="AM42" i="1"/>
  <c r="AM43" i="1"/>
  <c r="AM44" i="1"/>
  <c r="AM45" i="1"/>
  <c r="AM46" i="1"/>
  <c r="AM5" i="1"/>
  <c r="AM6" i="1"/>
  <c r="AM7" i="1"/>
  <c r="AM8" i="1"/>
  <c r="AM9" i="1"/>
  <c r="AM10" i="1"/>
  <c r="AM11" i="1"/>
  <c r="AM12" i="1"/>
  <c r="AM13" i="1"/>
  <c r="AM14" i="1"/>
  <c r="AM15" i="1"/>
  <c r="AM17" i="1"/>
  <c r="AM4" i="1"/>
  <c r="AM16" i="1"/>
  <c r="AB4" i="1"/>
  <c r="AB5" i="1"/>
  <c r="AB6" i="1"/>
  <c r="AB7" i="1"/>
  <c r="AB8" i="1"/>
  <c r="AB9" i="1"/>
  <c r="AB10" i="1"/>
  <c r="AB11" i="1"/>
  <c r="AB12" i="1"/>
  <c r="AB13" i="1"/>
  <c r="AB14" i="1"/>
  <c r="AB15" i="1"/>
  <c r="AB16" i="1"/>
  <c r="AG131" i="1" l="1"/>
  <c r="AH132" i="1"/>
  <c r="D11" i="2" s="1"/>
  <c r="F23" i="2" s="1"/>
  <c r="F20" i="2" s="1"/>
  <c r="O57" i="1"/>
  <c r="AH131" i="1"/>
  <c r="D10" i="2" s="1"/>
  <c r="AB34" i="1"/>
  <c r="U52" i="1"/>
  <c r="V52" i="1"/>
  <c r="AB39" i="1"/>
  <c r="AG39" i="1" s="1"/>
  <c r="AF131" i="1"/>
  <c r="B10" i="2" s="1"/>
  <c r="AM128" i="1"/>
  <c r="AM95" i="1"/>
  <c r="O52" i="1"/>
  <c r="AB38" i="1"/>
  <c r="AG38" i="1" s="1"/>
  <c r="Q52" i="1"/>
  <c r="P52" i="1"/>
  <c r="U51" i="1"/>
  <c r="AB40" i="1"/>
  <c r="AH39" i="1"/>
  <c r="W41" i="1"/>
  <c r="W51" i="1" s="1"/>
  <c r="AB21" i="1"/>
  <c r="AM34" i="1"/>
  <c r="V32" i="1"/>
  <c r="V51" i="1" s="1"/>
  <c r="AM22" i="1"/>
  <c r="AB17" i="1"/>
  <c r="R24" i="1"/>
  <c r="R5" i="1"/>
  <c r="R6" i="1"/>
  <c r="R7" i="1"/>
  <c r="R8" i="1"/>
  <c r="R9" i="1"/>
  <c r="R10" i="1"/>
  <c r="R11" i="1"/>
  <c r="R12" i="1"/>
  <c r="R14" i="1"/>
  <c r="R15" i="1"/>
  <c r="R16" i="1"/>
  <c r="R17" i="1"/>
  <c r="R18" i="1"/>
  <c r="R19" i="1"/>
  <c r="R20" i="1"/>
  <c r="R21" i="1"/>
  <c r="R22" i="1"/>
  <c r="R23" i="1"/>
  <c r="R25" i="1"/>
  <c r="R26" i="1"/>
  <c r="R27" i="1"/>
  <c r="R28" i="1"/>
  <c r="R29" i="1"/>
  <c r="R30" i="1"/>
  <c r="R31" i="1"/>
  <c r="R32" i="1"/>
  <c r="R33" i="1"/>
  <c r="R34" i="1"/>
  <c r="R35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4" i="1"/>
  <c r="AG134" i="1" l="1"/>
  <c r="O59" i="1" s="1"/>
  <c r="C10" i="2"/>
  <c r="C13" i="2" s="1"/>
  <c r="AB41" i="1"/>
  <c r="AB52" i="1"/>
  <c r="AI51" i="1"/>
  <c r="AM39" i="1"/>
  <c r="AG51" i="1"/>
  <c r="AB32" i="1"/>
  <c r="AB51" i="1" l="1"/>
  <c r="O58" i="1" s="1"/>
  <c r="AH38" i="1"/>
  <c r="AH51" i="1" s="1"/>
  <c r="AF51" i="1"/>
  <c r="AG54" i="1" s="1"/>
  <c r="AG57" i="1" l="1"/>
  <c r="C3" i="2"/>
  <c r="AF54" i="1"/>
  <c r="B3" i="2" s="1"/>
  <c r="AM38" i="1"/>
  <c r="AM51" i="1"/>
  <c r="B23" i="2" l="1"/>
  <c r="B22" i="2"/>
  <c r="C6" i="2"/>
  <c r="D22" i="2" l="1"/>
  <c r="C22" i="2"/>
  <c r="E22" i="2"/>
  <c r="B19" i="2"/>
  <c r="D23" i="2"/>
  <c r="C23" i="2"/>
  <c r="E23" i="2" s="1"/>
  <c r="B20" i="2"/>
  <c r="E19" i="2" l="1"/>
  <c r="D19" i="2"/>
  <c r="C19" i="2"/>
</calcChain>
</file>

<file path=xl/sharedStrings.xml><?xml version="1.0" encoding="utf-8"?>
<sst xmlns="http://schemas.openxmlformats.org/spreadsheetml/2006/main" count="1677" uniqueCount="267">
  <si>
    <t>#</t>
  </si>
  <si>
    <t>Street</t>
  </si>
  <si>
    <t>Leonard</t>
  </si>
  <si>
    <t>31-37</t>
  </si>
  <si>
    <t>39-43</t>
  </si>
  <si>
    <t>49-63</t>
  </si>
  <si>
    <t>30-42</t>
  </si>
  <si>
    <t>60-62</t>
  </si>
  <si>
    <t>Concord</t>
  </si>
  <si>
    <t>Channing</t>
  </si>
  <si>
    <t>34-36</t>
  </si>
  <si>
    <t>38-40</t>
  </si>
  <si>
    <t>Claflin</t>
  </si>
  <si>
    <t>Alexander</t>
  </si>
  <si>
    <t>9-11</t>
  </si>
  <si>
    <t>Cross</t>
  </si>
  <si>
    <t>28-30</t>
  </si>
  <si>
    <t>24-26</t>
  </si>
  <si>
    <t>20-22</t>
  </si>
  <si>
    <t>Current</t>
  </si>
  <si>
    <t>Zoning</t>
  </si>
  <si>
    <t>MBTA</t>
  </si>
  <si>
    <t>Overlay</t>
  </si>
  <si>
    <t>Center</t>
  </si>
  <si>
    <t>LB-1</t>
  </si>
  <si>
    <t>Height</t>
  </si>
  <si>
    <t>SR-C</t>
  </si>
  <si>
    <t>GR</t>
  </si>
  <si>
    <t>PL</t>
  </si>
  <si>
    <t>30'</t>
  </si>
  <si>
    <t>33'</t>
  </si>
  <si>
    <t>n/a</t>
  </si>
  <si>
    <t>MXDZ4</t>
  </si>
  <si>
    <t>16-18</t>
  </si>
  <si>
    <t>5-7</t>
  </si>
  <si>
    <t>MOZ2</t>
  </si>
  <si>
    <t>MOZ1A</t>
  </si>
  <si>
    <t>36'-42'</t>
  </si>
  <si>
    <t>36'</t>
  </si>
  <si>
    <t>49'-55'</t>
  </si>
  <si>
    <t>--</t>
  </si>
  <si>
    <t>FB1</t>
  </si>
  <si>
    <t>FB2</t>
  </si>
  <si>
    <t>FB3</t>
  </si>
  <si>
    <t>FB5</t>
  </si>
  <si>
    <t>FB4</t>
  </si>
  <si>
    <t>28'-32'</t>
  </si>
  <si>
    <t>37'</t>
  </si>
  <si>
    <t>65'</t>
  </si>
  <si>
    <t>Diff.</t>
  </si>
  <si>
    <t>+16</t>
  </si>
  <si>
    <t>+32</t>
  </si>
  <si>
    <t>+5</t>
  </si>
  <si>
    <t>+44</t>
  </si>
  <si>
    <t>+45</t>
  </si>
  <si>
    <t>+65</t>
  </si>
  <si>
    <t>+7</t>
  </si>
  <si>
    <t>+4</t>
  </si>
  <si>
    <t>Lot</t>
  </si>
  <si>
    <t>Size</t>
  </si>
  <si>
    <t>Area</t>
  </si>
  <si>
    <t>46-48</t>
  </si>
  <si>
    <t>C Bldg</t>
  </si>
  <si>
    <t>R Bldg</t>
  </si>
  <si>
    <t>73-89</t>
  </si>
  <si>
    <t>15-25</t>
  </si>
  <si>
    <t>Alexander*</t>
  </si>
  <si>
    <t>* 21 Alexander is also 88-90 Leonard Street</t>
  </si>
  <si>
    <t>FAR</t>
  </si>
  <si>
    <t>UNK</t>
  </si>
  <si>
    <t>3A</t>
  </si>
  <si>
    <t>37'-48'</t>
  </si>
  <si>
    <t>65'-76'</t>
  </si>
  <si>
    <t>Owner</t>
  </si>
  <si>
    <t>M&amp;T Bank</t>
  </si>
  <si>
    <t>First Leonard Realty LLC</t>
  </si>
  <si>
    <t>Proter Dunster Inc.</t>
  </si>
  <si>
    <t>31-37 Leonard St LLC</t>
  </si>
  <si>
    <t>39-43 Leonard St LLC</t>
  </si>
  <si>
    <t>46-48 Leonard St LLC</t>
  </si>
  <si>
    <t>Kevin C. Foley TRS</t>
  </si>
  <si>
    <t>50 Leonard St LLC</t>
  </si>
  <si>
    <t>Belmont Turnpike Realty LLC</t>
  </si>
  <si>
    <t>Various</t>
  </si>
  <si>
    <t>Sunnycrest Inc</t>
  </si>
  <si>
    <t>New-Bar LLC</t>
  </si>
  <si>
    <t>Town of Belmont</t>
  </si>
  <si>
    <t>New England Telephone Co.</t>
  </si>
  <si>
    <t>Carstairs Realty LLC</t>
  </si>
  <si>
    <t>375 Concord Ave LLC</t>
  </si>
  <si>
    <t>385 Concord Ave LLC</t>
  </si>
  <si>
    <t>Natl. Assn. of Armenian Studies</t>
  </si>
  <si>
    <t>First Armenian Church</t>
  </si>
  <si>
    <t>First Church in Belmont</t>
  </si>
  <si>
    <t>Bull Realty LLC 405 Concord Realty Trust</t>
  </si>
  <si>
    <t>Jane I. Stanichuck Trust</t>
  </si>
  <si>
    <t>Retail Site Processing Inc.</t>
  </si>
  <si>
    <t>16-18 Channing Rd LLC</t>
  </si>
  <si>
    <t>Kevin C. Foley TRS and Richard G. Mintz</t>
  </si>
  <si>
    <t>Sharon E. Spaulding</t>
  </si>
  <si>
    <t>5-7 Claflin Realty Trust</t>
  </si>
  <si>
    <t>Marcia T. Trenholm JT</t>
  </si>
  <si>
    <t>Carolyn Melita TR</t>
  </si>
  <si>
    <t>84 Leonard St LLC</t>
  </si>
  <si>
    <t>Commonwealth of Massachusetts</t>
  </si>
  <si>
    <t>Beaudoin Guillaume Living Trust</t>
  </si>
  <si>
    <t>Eric Chan TE</t>
  </si>
  <si>
    <t>Janet H. MacDonald TE</t>
  </si>
  <si>
    <t>Paul W. Richell III JT</t>
  </si>
  <si>
    <t>Josephine Paratore</t>
  </si>
  <si>
    <t>Elenna Rose Dugudji</t>
  </si>
  <si>
    <t>RPZ Realty Series LLC</t>
  </si>
  <si>
    <t>F1</t>
  </si>
  <si>
    <t>F2</t>
  </si>
  <si>
    <t>F3</t>
  </si>
  <si>
    <t>F4</t>
  </si>
  <si>
    <t>F5</t>
  </si>
  <si>
    <t>F6</t>
  </si>
  <si>
    <t>F7</t>
  </si>
  <si>
    <t>TOTAL</t>
  </si>
  <si>
    <t>Modeled SF</t>
  </si>
  <si>
    <t>Moore</t>
  </si>
  <si>
    <t>ORR ET AL TRS RONALD B</t>
  </si>
  <si>
    <t>PROPOSED REGULATIONS: FORM-BASED CODE OVERLAY</t>
  </si>
  <si>
    <t>EXISTING REGULATIONS: INCLUDES MBTA (3A) ZONING</t>
  </si>
  <si>
    <t xml:space="preserve"> </t>
  </si>
  <si>
    <t>FB 1 / CIVIC USE</t>
  </si>
  <si>
    <t>NOTE: This structure is likely to stay a civic use (fire station)</t>
  </si>
  <si>
    <t>NOTE: This lot on Claflin was removed from the FBV Overlay</t>
  </si>
  <si>
    <t>NOTES</t>
  </si>
  <si>
    <t>NOTE: This lot on Alexander Street was removed from the FBC Overlay</t>
  </si>
  <si>
    <t>NOTE: This lot on Cross Street was removed from the FBC Overlay</t>
  </si>
  <si>
    <t>NOTE: Requires parking garage to create enough parking to allow an increase</t>
  </si>
  <si>
    <t>NOTE: Topographical challenges and narrow lots</t>
  </si>
  <si>
    <t>+33</t>
  </si>
  <si>
    <t>+34</t>
  </si>
  <si>
    <t>+35</t>
  </si>
  <si>
    <t>+36</t>
  </si>
  <si>
    <t>Hospitality</t>
  </si>
  <si>
    <t>Minimum</t>
  </si>
  <si>
    <t>Maximum</t>
  </si>
  <si>
    <t>COMM</t>
  </si>
  <si>
    <t>RES</t>
  </si>
  <si>
    <t>HOTEL</t>
  </si>
  <si>
    <t>* Note that maximums in one category may reduce maximums in others. For example, if commercial is maximized, this would come at the expense of floors for residential.</t>
  </si>
  <si>
    <r>
      <rPr>
        <b/>
        <sz val="11"/>
        <color theme="1"/>
        <rFont val="Calibri"/>
        <family val="2"/>
        <scheme val="minor"/>
      </rPr>
      <t>NOTE:</t>
    </r>
    <r>
      <rPr>
        <sz val="11"/>
        <color theme="1"/>
        <rFont val="Calibri"/>
        <family val="2"/>
        <scheme val="minor"/>
      </rPr>
      <t xml:space="preserve"> Bonus floors are indicated by this shading color.</t>
    </r>
  </si>
  <si>
    <t>Full Project Area →</t>
  </si>
  <si>
    <t>Phase 1 Area →</t>
  </si>
  <si>
    <t>Phase 2 Area →</t>
  </si>
  <si>
    <t>Floors</t>
  </si>
  <si>
    <t>2-3</t>
  </si>
  <si>
    <t>Base</t>
  </si>
  <si>
    <r>
      <t xml:space="preserve">% </t>
    </r>
    <r>
      <rPr>
        <b/>
        <sz val="10"/>
        <color theme="1"/>
        <rFont val="Wingdings 2"/>
        <family val="1"/>
        <charset val="2"/>
      </rPr>
      <t>æ</t>
    </r>
  </si>
  <si>
    <t>Up to 358 Rooms @ 400 s.f. per room at 35% non-room area</t>
  </si>
  <si>
    <t>Existing Built</t>
  </si>
  <si>
    <t>Existing Potential</t>
  </si>
  <si>
    <t>Phase 1 Potential</t>
  </si>
  <si>
    <t>Phase 2 Potential</t>
  </si>
  <si>
    <t>TBD</t>
  </si>
  <si>
    <t>Studio</t>
  </si>
  <si>
    <t>1BR</t>
  </si>
  <si>
    <t>2BR</t>
  </si>
  <si>
    <t>Type</t>
  </si>
  <si>
    <t>Avg Size</t>
  </si>
  <si>
    <t>Residents</t>
  </si>
  <si>
    <t>500 s.f.</t>
  </si>
  <si>
    <t>1000 s.f.</t>
  </si>
  <si>
    <t>1250 s.f.</t>
  </si>
  <si>
    <t>Number</t>
  </si>
  <si>
    <t>Annual $</t>
  </si>
  <si>
    <t>Multiplier</t>
  </si>
  <si>
    <t>Residential Component Economic Multiplier</t>
  </si>
  <si>
    <r>
      <t xml:space="preserve">Capture </t>
    </r>
    <r>
      <rPr>
        <b/>
        <sz val="11"/>
        <color theme="1"/>
        <rFont val="Wingdings 3"/>
        <family val="1"/>
        <charset val="2"/>
      </rPr>
      <t>g</t>
    </r>
  </si>
  <si>
    <t>Tax Income</t>
  </si>
  <si>
    <t>19-21</t>
  </si>
  <si>
    <t>FY2025</t>
  </si>
  <si>
    <t>Assesssment</t>
  </si>
  <si>
    <t>Up to 286 Rooms @ 400 s.f. per room at 35% non-room area</t>
  </si>
  <si>
    <t>Up to 536 Units</t>
  </si>
  <si>
    <t>Partial Buildout</t>
  </si>
  <si>
    <t>Full Buildout</t>
  </si>
  <si>
    <t>Base Zoning (1-3)</t>
  </si>
  <si>
    <t>Density Bonuses (4-6)</t>
  </si>
  <si>
    <t>Base Zoning (7-9)</t>
  </si>
  <si>
    <t>Density Bonuses (10-12)</t>
  </si>
  <si>
    <t>ZONING SCENARIO</t>
  </si>
  <si>
    <t>Commercial S.F.</t>
  </si>
  <si>
    <t>Retail</t>
  </si>
  <si>
    <t>Service</t>
  </si>
  <si>
    <t>Office</t>
  </si>
  <si>
    <t xml:space="preserve">Residential S.F </t>
  </si>
  <si>
    <t>Likely</t>
  </si>
  <si>
    <t>From 180 to 483 Units (likely 307)</t>
  </si>
  <si>
    <t>References: (1) ICSC / Urban Land Institute (ULI) – Ten Principles for Rebuilding Neighborhood Retail (2003)</t>
  </si>
  <si>
    <r>
      <rPr>
        <b/>
        <sz val="9"/>
        <color theme="1"/>
        <rFont val="Calibri"/>
        <family val="2"/>
        <scheme val="minor"/>
      </rPr>
      <t>Assumptions: $</t>
    </r>
    <r>
      <rPr>
        <sz val="9"/>
        <color theme="1"/>
        <rFont val="Calibri"/>
        <family val="2"/>
        <scheme val="minor"/>
      </rPr>
      <t>7500 annual resident spending w/ 50% captured in district (50% Residential Capture Rate)</t>
    </r>
  </si>
  <si>
    <r>
      <rPr>
        <b/>
        <sz val="9"/>
        <color theme="1"/>
        <rFont val="Calibri"/>
        <family val="2"/>
        <scheme val="minor"/>
      </rPr>
      <t xml:space="preserve">Note 1: </t>
    </r>
    <r>
      <rPr>
        <sz val="9"/>
        <color theme="1"/>
        <rFont val="Calibri"/>
        <family val="2"/>
        <scheme val="minor"/>
      </rPr>
      <t>ACS data may show variations in residents per units size</t>
    </r>
  </si>
  <si>
    <r>
      <rPr>
        <b/>
        <sz val="9"/>
        <color theme="1"/>
        <rFont val="Calibri"/>
        <family val="2"/>
        <scheme val="minor"/>
      </rPr>
      <t xml:space="preserve">Note 2: </t>
    </r>
    <r>
      <rPr>
        <sz val="9"/>
        <color theme="1"/>
        <rFont val="Calibri"/>
        <family val="2"/>
        <scheme val="minor"/>
      </rPr>
      <t>Capture rate can be as high as 70% in walkable, amenity rich districts</t>
    </r>
  </si>
  <si>
    <t>(2) PlaceEconomics – Economics of Downtown Revitalization (Donovan Rypkema)</t>
  </si>
  <si>
    <t>(4) ULI Mixed-Use Development Handbook (2007)</t>
  </si>
  <si>
    <t>(3) HR&amp;A Advisors – Retail Demand Analysis for Downtown Raliegh (2019)</t>
  </si>
  <si>
    <t>Summary of Buildout w/o Density Bonus</t>
  </si>
  <si>
    <t>Summary of Buildout w/ Density Bonus</t>
  </si>
  <si>
    <r>
      <t xml:space="preserve">TOTALS </t>
    </r>
    <r>
      <rPr>
        <b/>
        <sz val="11"/>
        <color theme="1"/>
        <rFont val="Wingdings 3"/>
        <family val="1"/>
        <charset val="2"/>
      </rPr>
      <t>g</t>
    </r>
  </si>
  <si>
    <t>Townhome</t>
  </si>
  <si>
    <t>Condo</t>
  </si>
  <si>
    <t>Three Bedroom</t>
  </si>
  <si>
    <t>Two Bedroom</t>
  </si>
  <si>
    <t>One Bedroom</t>
  </si>
  <si>
    <t>Studios</t>
  </si>
  <si>
    <t>AFFORDABLE</t>
  </si>
  <si>
    <t>MARKET</t>
  </si>
  <si>
    <t>Est. Pupils Generated</t>
  </si>
  <si>
    <t>Ratio</t>
  </si>
  <si>
    <t>Units</t>
  </si>
  <si>
    <t>Unit Type</t>
  </si>
  <si>
    <t>Belmont, MA</t>
  </si>
  <si>
    <t>Calculation of Pupil Generation - OPB Method</t>
  </si>
  <si>
    <t>Retail/Services</t>
  </si>
  <si>
    <t>Total Res. Units</t>
  </si>
  <si>
    <t>2BR Units</t>
  </si>
  <si>
    <t>1BR Units</t>
  </si>
  <si>
    <t>Studio Units</t>
  </si>
  <si>
    <t>Surplus/Deficit (B - E)</t>
  </si>
  <si>
    <t>Market</t>
  </si>
  <si>
    <t>Affordable</t>
  </si>
  <si>
    <t>Total</t>
  </si>
  <si>
    <t>E</t>
  </si>
  <si>
    <t>Surplus/Deficit (B - D)</t>
  </si>
  <si>
    <t>D</t>
  </si>
  <si>
    <t>Surplus/Deficit (B - C)</t>
  </si>
  <si>
    <t>C</t>
  </si>
  <si>
    <t>B</t>
  </si>
  <si>
    <t>A</t>
  </si>
  <si>
    <t xml:space="preserve">   Revenues, Hotel</t>
  </si>
  <si>
    <t xml:space="preserve">   Revenues, Non-Hotel</t>
  </si>
  <si>
    <t>w/ Bonus</t>
  </si>
  <si>
    <t>Base Zoning</t>
  </si>
  <si>
    <t>Baseline Revenue Projections</t>
  </si>
  <si>
    <t>Full-Buildout</t>
  </si>
  <si>
    <t>Half-Buildout</t>
  </si>
  <si>
    <t>Hotel SF/Rooms</t>
  </si>
  <si>
    <r>
      <t xml:space="preserve">FULL BUILDOUT - NO BONUS </t>
    </r>
    <r>
      <rPr>
        <sz val="11"/>
        <color theme="1"/>
        <rFont val="Calibri"/>
        <family val="2"/>
        <scheme val="minor"/>
      </rPr>
      <t>(Scenarios 7-9)</t>
    </r>
  </si>
  <si>
    <r>
      <t>FULL BUILDOUT - BONUS</t>
    </r>
    <r>
      <rPr>
        <sz val="11"/>
        <color theme="1"/>
        <rFont val="Calibri"/>
        <family val="2"/>
        <scheme val="minor"/>
      </rPr>
      <t xml:space="preserve"> (Scenarios 10-12)</t>
    </r>
  </si>
  <si>
    <r>
      <t>HALF BUILDOUT - NO BONUS</t>
    </r>
    <r>
      <rPr>
        <sz val="11"/>
        <color theme="1"/>
        <rFont val="Calibri"/>
        <family val="2"/>
        <scheme val="minor"/>
      </rPr>
      <t xml:space="preserve"> (Scenarios 1-3)</t>
    </r>
  </si>
  <si>
    <r>
      <t>HALF BUILDOUT - BONUS</t>
    </r>
    <r>
      <rPr>
        <sz val="11"/>
        <color theme="1"/>
        <rFont val="Calibri"/>
        <family val="2"/>
        <scheme val="minor"/>
      </rPr>
      <t xml:space="preserve"> (Scenarios 4-6)</t>
    </r>
  </si>
  <si>
    <t>Calculation of Pupil Generation - RKG Method</t>
  </si>
  <si>
    <t>Calculation of Pupil Generation - IM Method</t>
  </si>
  <si>
    <t>SCENARIO 1</t>
  </si>
  <si>
    <t>SCENARIO 2</t>
  </si>
  <si>
    <t>SCENARIO 3</t>
  </si>
  <si>
    <t>SCENARIO 4</t>
  </si>
  <si>
    <t>SCENARIO 5</t>
  </si>
  <si>
    <t>SCENARIO 6</t>
  </si>
  <si>
    <t>SCENARIO 7</t>
  </si>
  <si>
    <t>SCENARIO 8</t>
  </si>
  <si>
    <t>SCENARIO 9</t>
  </si>
  <si>
    <t>SCENARIO 10</t>
  </si>
  <si>
    <t>SCENARIO 11</t>
  </si>
  <si>
    <t>SCENARIO 12</t>
  </si>
  <si>
    <t>Net New Projected Revenue (NNPR)</t>
  </si>
  <si>
    <t>Total Projected Revenues (TPR)</t>
  </si>
  <si>
    <t>Present Day Revenues (PDR)</t>
  </si>
  <si>
    <t>BELMONT CENTER OVERLAY ZONING BUILDOUT ANALYSIS</t>
  </si>
  <si>
    <t>Updated 9/4/2025</t>
  </si>
  <si>
    <t>Costs - Town Scenarios 2,5,8,11 ( C )</t>
  </si>
  <si>
    <t>Costs - RKG Scenarios 1,4,7,10 ( C )</t>
  </si>
  <si>
    <t>Costs - Morgenstern Scenarios 3,6,9,12 ( C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</si>
</sst>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_(&quot;$&quot;* #,##0_);_(&quot;$&quot;* \(#,##0\);_(&quot;$&quot;* &quot;-&quot;??_);_(@_)"/>
    <numFmt numFmtId="166" formatCode="_(* #,##0_);_(* \(#,##0\);_(* &quot;-&quot;??_);_(@_)"/>
    <numFmt numFmtId="167" formatCode="0.000"/>
  </numFmts>
  <fonts count="2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Wingdings 2"/>
      <family val="1"/>
      <charset val="2"/>
    </font>
    <font>
      <b/>
      <sz val="11"/>
      <color theme="1"/>
      <name val="Wingdings 3"/>
      <family val="1"/>
      <charset val="2"/>
    </font>
    <font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</font>
    <font>
      <i/>
      <sz val="10"/>
      <color rgb="FFC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E1F2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theme="0" tint="-4.9989318521683403E-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C00000"/>
      </left>
      <right style="thin">
        <color indexed="64"/>
      </right>
      <top style="medium">
        <color rgb="FFC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C00000"/>
      </top>
      <bottom style="thin">
        <color indexed="64"/>
      </bottom>
      <diagonal/>
    </border>
    <border>
      <left style="medium">
        <color rgb="FFC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thin">
        <color indexed="64"/>
      </right>
      <top style="thin">
        <color indexed="64"/>
      </top>
      <bottom style="medium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C00000"/>
      </bottom>
      <diagonal/>
    </border>
    <border>
      <left style="thin">
        <color indexed="64"/>
      </left>
      <right style="medium">
        <color rgb="FFC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AEAAAA"/>
      </left>
      <right style="thin">
        <color rgb="FFAEAAAA"/>
      </right>
      <top style="thin">
        <color rgb="FFAEAAAA"/>
      </top>
      <bottom style="thin">
        <color rgb="FFAEAAAA"/>
      </bottom>
      <diagonal/>
    </border>
    <border>
      <left style="thin">
        <color rgb="FFAEAAAA"/>
      </left>
      <right/>
      <top style="thin">
        <color rgb="FFAEAAAA"/>
      </top>
      <bottom/>
      <diagonal/>
    </border>
    <border>
      <left/>
      <right/>
      <top style="thin">
        <color rgb="FFAEAAAA"/>
      </top>
      <bottom/>
      <diagonal/>
    </border>
    <border>
      <left/>
      <right style="thin">
        <color rgb="FFAEAAAA"/>
      </right>
      <top style="thin">
        <color rgb="FFAEAAAA"/>
      </top>
      <bottom/>
      <diagonal/>
    </border>
    <border>
      <left style="thin">
        <color rgb="FFAEAAAA"/>
      </left>
      <right/>
      <top/>
      <bottom/>
      <diagonal/>
    </border>
    <border>
      <left/>
      <right style="thin">
        <color rgb="FFAEAAAA"/>
      </right>
      <top/>
      <bottom/>
      <diagonal/>
    </border>
    <border>
      <left style="thin">
        <color rgb="FFAEAAAA"/>
      </left>
      <right style="thin">
        <color rgb="FFAEAAAA"/>
      </right>
      <top style="thin">
        <color rgb="FFAEAAAA"/>
      </top>
      <bottom style="double">
        <color indexed="64"/>
      </bottom>
      <diagonal/>
    </border>
    <border>
      <left style="thin">
        <color rgb="FFAEAAAA"/>
      </left>
      <right style="thin">
        <color rgb="FFAEAAAA"/>
      </right>
      <top/>
      <bottom style="thin">
        <color rgb="FFAEAAAA"/>
      </bottom>
      <diagonal/>
    </border>
    <border>
      <left style="thin">
        <color rgb="FFAEAAAA"/>
      </left>
      <right/>
      <top/>
      <bottom style="thin">
        <color rgb="FFAEAAAA"/>
      </bottom>
      <diagonal/>
    </border>
    <border>
      <left/>
      <right/>
      <top/>
      <bottom style="thin">
        <color rgb="FFAEAAAA"/>
      </bottom>
      <diagonal/>
    </border>
    <border>
      <left/>
      <right style="thin">
        <color rgb="FFAEAAAA"/>
      </right>
      <top/>
      <bottom style="thin">
        <color rgb="FFAEAAAA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9" fontId="6" fillId="0" borderId="1" applyNumberFormat="0" applyFill="0" applyBorder="0" applyAlignment="0" applyProtection="0">
      <alignment horizontal="right"/>
    </xf>
    <xf numFmtId="44" fontId="3" fillId="0" borderId="0" applyFont="0" applyFill="0" applyBorder="0" applyAlignment="0" applyProtection="0"/>
  </cellStyleXfs>
  <cellXfs count="197">
    <xf numFmtId="0" fontId="0" fillId="0" borderId="0" xfId="0"/>
    <xf numFmtId="4" fontId="0" fillId="0" borderId="2" xfId="0" applyNumberForma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4" fontId="4" fillId="3" borderId="2" xfId="0" applyNumberFormat="1" applyFont="1" applyFill="1" applyBorder="1" applyAlignment="1">
      <alignment horizontal="center"/>
    </xf>
    <xf numFmtId="4" fontId="4" fillId="3" borderId="2" xfId="2" applyNumberFormat="1" applyFont="1" applyFill="1" applyBorder="1" applyAlignment="1">
      <alignment horizontal="center"/>
    </xf>
    <xf numFmtId="4" fontId="0" fillId="0" borderId="2" xfId="1" quotePrefix="1" applyNumberFormat="1" applyFont="1" applyBorder="1" applyAlignment="1">
      <alignment horizontal="center"/>
    </xf>
    <xf numFmtId="4" fontId="4" fillId="3" borderId="1" xfId="0" applyNumberFormat="1" applyFont="1" applyFill="1" applyBorder="1" applyAlignment="1">
      <alignment horizontal="center"/>
    </xf>
    <xf numFmtId="4" fontId="4" fillId="3" borderId="1" xfId="2" applyNumberFormat="1" applyFont="1" applyFill="1" applyBorder="1" applyAlignment="1">
      <alignment horizontal="center"/>
    </xf>
    <xf numFmtId="4" fontId="0" fillId="0" borderId="1" xfId="1" quotePrefix="1" applyNumberFormat="1" applyFont="1" applyBorder="1" applyAlignment="1">
      <alignment horizontal="center"/>
    </xf>
    <xf numFmtId="4" fontId="0" fillId="0" borderId="1" xfId="1" applyNumberFormat="1" applyFont="1" applyBorder="1" applyAlignment="1">
      <alignment horizontal="center"/>
    </xf>
    <xf numFmtId="4" fontId="4" fillId="4" borderId="1" xfId="0" applyNumberFormat="1" applyFont="1" applyFill="1" applyBorder="1" applyAlignment="1">
      <alignment horizontal="center"/>
    </xf>
    <xf numFmtId="4" fontId="4" fillId="4" borderId="1" xfId="2" applyNumberFormat="1" applyFont="1" applyFill="1" applyBorder="1" applyAlignment="1">
      <alignment horizontal="center"/>
    </xf>
    <xf numFmtId="4" fontId="5" fillId="6" borderId="1" xfId="0" applyNumberFormat="1" applyFont="1" applyFill="1" applyBorder="1" applyAlignment="1">
      <alignment horizontal="center"/>
    </xf>
    <xf numFmtId="4" fontId="5" fillId="5" borderId="1" xfId="0" applyNumberFormat="1" applyFont="1" applyFill="1" applyBorder="1" applyAlignment="1">
      <alignment horizontal="center"/>
    </xf>
    <xf numFmtId="4" fontId="7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horizontal="center"/>
    </xf>
    <xf numFmtId="4" fontId="0" fillId="0" borderId="2" xfId="1" applyNumberFormat="1" applyFont="1" applyBorder="1" applyAlignment="1">
      <alignment horizontal="center"/>
    </xf>
    <xf numFmtId="4" fontId="0" fillId="4" borderId="0" xfId="0" applyNumberFormat="1" applyFill="1" applyAlignment="1">
      <alignment horizontal="center"/>
    </xf>
    <xf numFmtId="4" fontId="0" fillId="4" borderId="0" xfId="0" applyNumberFormat="1" applyFill="1" applyAlignment="1">
      <alignment horizontal="left"/>
    </xf>
    <xf numFmtId="4" fontId="0" fillId="0" borderId="1" xfId="0" applyNumberFormat="1" applyBorder="1" applyAlignment="1">
      <alignment horizontal="left"/>
    </xf>
    <xf numFmtId="4" fontId="0" fillId="0" borderId="0" xfId="0" applyNumberFormat="1" applyAlignment="1">
      <alignment horizontal="left"/>
    </xf>
    <xf numFmtId="4" fontId="0" fillId="7" borderId="0" xfId="0" applyNumberFormat="1" applyFill="1" applyAlignment="1">
      <alignment horizontal="center"/>
    </xf>
    <xf numFmtId="4" fontId="7" fillId="0" borderId="0" xfId="0" applyNumberFormat="1" applyFont="1" applyAlignment="1">
      <alignment horizontal="left" vertical="center"/>
    </xf>
    <xf numFmtId="4" fontId="8" fillId="0" borderId="0" xfId="0" applyNumberFormat="1" applyFont="1" applyAlignment="1">
      <alignment horizontal="center" vertical="center"/>
    </xf>
    <xf numFmtId="4" fontId="8" fillId="0" borderId="0" xfId="0" applyNumberFormat="1" applyFont="1" applyAlignment="1">
      <alignment horizontal="left" vertical="center"/>
    </xf>
    <xf numFmtId="3" fontId="0" fillId="0" borderId="1" xfId="1" applyNumberFormat="1" applyFont="1" applyBorder="1" applyAlignment="1">
      <alignment horizontal="center"/>
    </xf>
    <xf numFmtId="4" fontId="4" fillId="0" borderId="0" xfId="0" applyNumberFormat="1" applyFont="1" applyAlignment="1">
      <alignment horizontal="center"/>
    </xf>
    <xf numFmtId="4" fontId="0" fillId="0" borderId="7" xfId="0" applyNumberFormat="1" applyBorder="1" applyAlignment="1">
      <alignment horizontal="center"/>
    </xf>
    <xf numFmtId="4" fontId="4" fillId="4" borderId="7" xfId="0" applyNumberFormat="1" applyFont="1" applyFill="1" applyBorder="1" applyAlignment="1">
      <alignment horizontal="center"/>
    </xf>
    <xf numFmtId="4" fontId="4" fillId="4" borderId="7" xfId="2" applyNumberFormat="1" applyFont="1" applyFill="1" applyBorder="1" applyAlignment="1">
      <alignment horizontal="center"/>
    </xf>
    <xf numFmtId="4" fontId="0" fillId="0" borderId="7" xfId="1" applyNumberFormat="1" applyFont="1" applyBorder="1" applyAlignment="1">
      <alignment horizontal="center"/>
    </xf>
    <xf numFmtId="4" fontId="0" fillId="0" borderId="7" xfId="1" quotePrefix="1" applyNumberFormat="1" applyFont="1" applyBorder="1" applyAlignment="1">
      <alignment horizontal="center"/>
    </xf>
    <xf numFmtId="3" fontId="0" fillId="0" borderId="7" xfId="1" applyNumberFormat="1" applyFont="1" applyBorder="1" applyAlignment="1">
      <alignment horizontal="center"/>
    </xf>
    <xf numFmtId="4" fontId="5" fillId="5" borderId="2" xfId="0" applyNumberFormat="1" applyFon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0" fillId="0" borderId="2" xfId="1" applyNumberFormat="1" applyFont="1" applyBorder="1" applyAlignment="1">
      <alignment horizontal="center"/>
    </xf>
    <xf numFmtId="4" fontId="5" fillId="6" borderId="9" xfId="0" applyNumberFormat="1" applyFont="1" applyFill="1" applyBorder="1" applyAlignment="1">
      <alignment horizontal="center"/>
    </xf>
    <xf numFmtId="4" fontId="5" fillId="6" borderId="12" xfId="0" applyNumberFormat="1" applyFont="1" applyFill="1" applyBorder="1" applyAlignment="1">
      <alignment horizontal="center"/>
    </xf>
    <xf numFmtId="3" fontId="0" fillId="0" borderId="0" xfId="0" applyNumberFormat="1"/>
    <xf numFmtId="0" fontId="9" fillId="0" borderId="0" xfId="0" applyFont="1"/>
    <xf numFmtId="4" fontId="0" fillId="8" borderId="9" xfId="0" applyNumberFormat="1" applyFill="1" applyBorder="1" applyAlignment="1">
      <alignment horizontal="center"/>
    </xf>
    <xf numFmtId="4" fontId="0" fillId="8" borderId="1" xfId="0" applyNumberFormat="1" applyFill="1" applyBorder="1" applyAlignment="1">
      <alignment horizontal="center"/>
    </xf>
    <xf numFmtId="4" fontId="0" fillId="8" borderId="12" xfId="0" applyNumberFormat="1" applyFill="1" applyBorder="1" applyAlignment="1">
      <alignment horizontal="center"/>
    </xf>
    <xf numFmtId="4" fontId="0" fillId="8" borderId="9" xfId="1" applyNumberFormat="1" applyFont="1" applyFill="1" applyBorder="1" applyAlignment="1">
      <alignment horizontal="center"/>
    </xf>
    <xf numFmtId="4" fontId="0" fillId="8" borderId="9" xfId="1" quotePrefix="1" applyNumberFormat="1" applyFont="1" applyFill="1" applyBorder="1" applyAlignment="1">
      <alignment horizontal="center"/>
    </xf>
    <xf numFmtId="4" fontId="0" fillId="8" borderId="1" xfId="1" applyNumberFormat="1" applyFont="1" applyFill="1" applyBorder="1" applyAlignment="1">
      <alignment horizontal="center"/>
    </xf>
    <xf numFmtId="4" fontId="0" fillId="8" borderId="1" xfId="1" quotePrefix="1" applyNumberFormat="1" applyFont="1" applyFill="1" applyBorder="1" applyAlignment="1">
      <alignment horizontal="center"/>
    </xf>
    <xf numFmtId="4" fontId="0" fillId="8" borderId="12" xfId="1" applyNumberFormat="1" applyFont="1" applyFill="1" applyBorder="1" applyAlignment="1">
      <alignment horizontal="center"/>
    </xf>
    <xf numFmtId="4" fontId="0" fillId="8" borderId="12" xfId="1" quotePrefix="1" applyNumberFormat="1" applyFont="1" applyFill="1" applyBorder="1" applyAlignment="1">
      <alignment horizontal="center"/>
    </xf>
    <xf numFmtId="3" fontId="0" fillId="8" borderId="9" xfId="1" applyNumberFormat="1" applyFont="1" applyFill="1" applyBorder="1" applyAlignment="1">
      <alignment horizontal="center"/>
    </xf>
    <xf numFmtId="3" fontId="0" fillId="8" borderId="1" xfId="1" applyNumberFormat="1" applyFont="1" applyFill="1" applyBorder="1" applyAlignment="1">
      <alignment horizontal="center"/>
    </xf>
    <xf numFmtId="3" fontId="0" fillId="8" borderId="12" xfId="1" applyNumberFormat="1" applyFont="1" applyFill="1" applyBorder="1" applyAlignment="1">
      <alignment horizontal="center"/>
    </xf>
    <xf numFmtId="4" fontId="0" fillId="9" borderId="1" xfId="0" applyNumberFormat="1" applyFill="1" applyBorder="1" applyAlignment="1">
      <alignment horizontal="center"/>
    </xf>
    <xf numFmtId="4" fontId="4" fillId="9" borderId="1" xfId="0" applyNumberFormat="1" applyFont="1" applyFill="1" applyBorder="1" applyAlignment="1">
      <alignment horizontal="center"/>
    </xf>
    <xf numFmtId="4" fontId="0" fillId="9" borderId="1" xfId="1" applyNumberFormat="1" applyFont="1" applyFill="1" applyBorder="1" applyAlignment="1">
      <alignment horizontal="center"/>
    </xf>
    <xf numFmtId="4" fontId="0" fillId="9" borderId="1" xfId="1" quotePrefix="1" applyNumberFormat="1" applyFont="1" applyFill="1" applyBorder="1" applyAlignment="1">
      <alignment horizontal="center"/>
    </xf>
    <xf numFmtId="3" fontId="0" fillId="9" borderId="1" xfId="1" applyNumberFormat="1" applyFon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164" fontId="0" fillId="9" borderId="1" xfId="0" applyNumberFormat="1" applyFill="1" applyBorder="1" applyAlignment="1">
      <alignment horizontal="center"/>
    </xf>
    <xf numFmtId="3" fontId="0" fillId="9" borderId="1" xfId="0" applyNumberFormat="1" applyFill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3" fontId="0" fillId="0" borderId="7" xfId="0" applyNumberFormat="1" applyBorder="1" applyAlignment="1">
      <alignment horizontal="center"/>
    </xf>
    <xf numFmtId="3" fontId="0" fillId="8" borderId="8" xfId="0" applyNumberFormat="1" applyFill="1" applyBorder="1" applyAlignment="1">
      <alignment horizontal="center"/>
    </xf>
    <xf numFmtId="3" fontId="0" fillId="8" borderId="10" xfId="0" applyNumberFormat="1" applyFill="1" applyBorder="1" applyAlignment="1">
      <alignment horizontal="center"/>
    </xf>
    <xf numFmtId="3" fontId="0" fillId="8" borderId="11" xfId="0" applyNumberFormat="1" applyFill="1" applyBorder="1" applyAlignment="1">
      <alignment horizontal="center"/>
    </xf>
    <xf numFmtId="3" fontId="4" fillId="0" borderId="0" xfId="0" applyNumberFormat="1" applyFont="1" applyAlignment="1">
      <alignment horizontal="center"/>
    </xf>
    <xf numFmtId="49" fontId="0" fillId="0" borderId="2" xfId="0" applyNumberFormat="1" applyBorder="1" applyAlignment="1">
      <alignment horizontal="center"/>
    </xf>
    <xf numFmtId="4" fontId="4" fillId="10" borderId="0" xfId="0" applyNumberFormat="1" applyFont="1" applyFill="1" applyAlignment="1">
      <alignment horizontal="left"/>
    </xf>
    <xf numFmtId="4" fontId="0" fillId="10" borderId="0" xfId="0" applyNumberFormat="1" applyFill="1" applyAlignment="1">
      <alignment horizontal="center"/>
    </xf>
    <xf numFmtId="3" fontId="4" fillId="10" borderId="0" xfId="0" applyNumberFormat="1" applyFont="1" applyFill="1" applyAlignment="1">
      <alignment horizontal="center"/>
    </xf>
    <xf numFmtId="4" fontId="4" fillId="10" borderId="0" xfId="0" applyNumberFormat="1" applyFont="1" applyFill="1" applyAlignment="1">
      <alignment horizontal="center"/>
    </xf>
    <xf numFmtId="49" fontId="0" fillId="8" borderId="1" xfId="0" applyNumberFormat="1" applyFill="1" applyBorder="1" applyAlignment="1">
      <alignment horizontal="center"/>
    </xf>
    <xf numFmtId="49" fontId="0" fillId="8" borderId="12" xfId="0" applyNumberFormat="1" applyFill="1" applyBorder="1" applyAlignment="1">
      <alignment horizontal="center"/>
    </xf>
    <xf numFmtId="164" fontId="0" fillId="8" borderId="9" xfId="0" applyNumberFormat="1" applyFill="1" applyBorder="1" applyAlignment="1">
      <alignment horizontal="center"/>
    </xf>
    <xf numFmtId="4" fontId="4" fillId="10" borderId="1" xfId="0" applyNumberFormat="1" applyFont="1" applyFill="1" applyBorder="1" applyAlignment="1">
      <alignment horizontal="center"/>
    </xf>
    <xf numFmtId="3" fontId="0" fillId="4" borderId="1" xfId="0" applyNumberFormat="1" applyFill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3" fontId="0" fillId="4" borderId="1" xfId="1" applyNumberFormat="1" applyFont="1" applyFill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0" fillId="8" borderId="9" xfId="0" applyNumberFormat="1" applyFill="1" applyBorder="1" applyAlignment="1">
      <alignment horizontal="center"/>
    </xf>
    <xf numFmtId="3" fontId="0" fillId="4" borderId="9" xfId="0" applyNumberFormat="1" applyFill="1" applyBorder="1" applyAlignment="1">
      <alignment horizontal="center"/>
    </xf>
    <xf numFmtId="3" fontId="4" fillId="8" borderId="9" xfId="0" applyNumberFormat="1" applyFont="1" applyFill="1" applyBorder="1" applyAlignment="1">
      <alignment horizontal="center"/>
    </xf>
    <xf numFmtId="3" fontId="0" fillId="8" borderId="1" xfId="0" applyNumberFormat="1" applyFill="1" applyBorder="1" applyAlignment="1">
      <alignment horizontal="center"/>
    </xf>
    <xf numFmtId="3" fontId="4" fillId="8" borderId="1" xfId="0" applyNumberFormat="1" applyFont="1" applyFill="1" applyBorder="1" applyAlignment="1">
      <alignment horizontal="center"/>
    </xf>
    <xf numFmtId="3" fontId="0" fillId="8" borderId="12" xfId="0" applyNumberFormat="1" applyFill="1" applyBorder="1" applyAlignment="1">
      <alignment horizontal="center"/>
    </xf>
    <xf numFmtId="3" fontId="0" fillId="4" borderId="12" xfId="0" applyNumberFormat="1" applyFill="1" applyBorder="1" applyAlignment="1">
      <alignment horizontal="center"/>
    </xf>
    <xf numFmtId="3" fontId="4" fillId="8" borderId="12" xfId="0" applyNumberFormat="1" applyFont="1" applyFill="1" applyBorder="1" applyAlignment="1">
      <alignment horizontal="center"/>
    </xf>
    <xf numFmtId="3" fontId="4" fillId="0" borderId="2" xfId="0" applyNumberFormat="1" applyFont="1" applyBorder="1" applyAlignment="1">
      <alignment horizontal="center"/>
    </xf>
    <xf numFmtId="3" fontId="0" fillId="7" borderId="1" xfId="0" applyNumberFormat="1" applyFill="1" applyBorder="1" applyAlignment="1">
      <alignment horizontal="center"/>
    </xf>
    <xf numFmtId="3" fontId="4" fillId="9" borderId="1" xfId="0" applyNumberFormat="1" applyFont="1" applyFill="1" applyBorder="1" applyAlignment="1">
      <alignment horizontal="center"/>
    </xf>
    <xf numFmtId="4" fontId="11" fillId="2" borderId="3" xfId="0" applyNumberFormat="1" applyFont="1" applyFill="1" applyBorder="1" applyAlignment="1">
      <alignment horizontal="center"/>
    </xf>
    <xf numFmtId="4" fontId="11" fillId="2" borderId="4" xfId="0" applyNumberFormat="1" applyFont="1" applyFill="1" applyBorder="1" applyAlignment="1">
      <alignment horizontal="center"/>
    </xf>
    <xf numFmtId="4" fontId="12" fillId="2" borderId="4" xfId="0" applyNumberFormat="1" applyFont="1" applyFill="1" applyBorder="1" applyAlignment="1">
      <alignment horizontal="center"/>
    </xf>
    <xf numFmtId="4" fontId="12" fillId="2" borderId="5" xfId="0" applyNumberFormat="1" applyFont="1" applyFill="1" applyBorder="1" applyAlignment="1">
      <alignment horizontal="center"/>
    </xf>
    <xf numFmtId="4" fontId="12" fillId="2" borderId="6" xfId="0" applyNumberFormat="1" applyFont="1" applyFill="1" applyBorder="1" applyAlignment="1">
      <alignment horizontal="center"/>
    </xf>
    <xf numFmtId="4" fontId="12" fillId="2" borderId="3" xfId="0" applyNumberFormat="1" applyFont="1" applyFill="1" applyBorder="1" applyAlignment="1">
      <alignment horizontal="center"/>
    </xf>
    <xf numFmtId="3" fontId="0" fillId="0" borderId="2" xfId="1" quotePrefix="1" applyNumberFormat="1" applyFont="1" applyBorder="1" applyAlignment="1">
      <alignment horizontal="center"/>
    </xf>
    <xf numFmtId="3" fontId="0" fillId="0" borderId="1" xfId="1" quotePrefix="1" applyNumberFormat="1" applyFont="1" applyBorder="1" applyAlignment="1">
      <alignment horizontal="center"/>
    </xf>
    <xf numFmtId="3" fontId="0" fillId="0" borderId="7" xfId="1" quotePrefix="1" applyNumberFormat="1" applyFont="1" applyBorder="1" applyAlignment="1">
      <alignment horizontal="center"/>
    </xf>
    <xf numFmtId="3" fontId="0" fillId="8" borderId="9" xfId="1" quotePrefix="1" applyNumberFormat="1" applyFont="1" applyFill="1" applyBorder="1" applyAlignment="1">
      <alignment horizontal="center"/>
    </xf>
    <xf numFmtId="3" fontId="0" fillId="8" borderId="1" xfId="1" quotePrefix="1" applyNumberFormat="1" applyFont="1" applyFill="1" applyBorder="1" applyAlignment="1">
      <alignment horizontal="center"/>
    </xf>
    <xf numFmtId="3" fontId="0" fillId="8" borderId="12" xfId="1" quotePrefix="1" applyNumberFormat="1" applyFont="1" applyFill="1" applyBorder="1" applyAlignment="1">
      <alignment horizontal="center"/>
    </xf>
    <xf numFmtId="3" fontId="10" fillId="0" borderId="1" xfId="1" applyNumberFormat="1" applyFont="1" applyBorder="1" applyAlignment="1">
      <alignment horizontal="center"/>
    </xf>
    <xf numFmtId="3" fontId="10" fillId="0" borderId="7" xfId="1" applyNumberFormat="1" applyFont="1" applyBorder="1" applyAlignment="1">
      <alignment horizontal="center"/>
    </xf>
    <xf numFmtId="3" fontId="10" fillId="9" borderId="1" xfId="1" applyNumberFormat="1" applyFont="1" applyFill="1" applyBorder="1" applyAlignment="1">
      <alignment horizontal="center"/>
    </xf>
    <xf numFmtId="4" fontId="4" fillId="0" borderId="0" xfId="0" applyNumberFormat="1" applyFont="1" applyAlignment="1">
      <alignment horizontal="left"/>
    </xf>
    <xf numFmtId="164" fontId="4" fillId="0" borderId="0" xfId="0" applyNumberFormat="1" applyFont="1" applyAlignment="1">
      <alignment horizontal="center"/>
    </xf>
    <xf numFmtId="44" fontId="0" fillId="0" borderId="1" xfId="4" applyFont="1" applyBorder="1" applyAlignment="1">
      <alignment horizontal="center"/>
    </xf>
    <xf numFmtId="44" fontId="4" fillId="0" borderId="0" xfId="4" applyFont="1" applyAlignment="1">
      <alignment horizontal="center"/>
    </xf>
    <xf numFmtId="165" fontId="0" fillId="0" borderId="1" xfId="4" applyNumberFormat="1" applyFont="1" applyBorder="1" applyAlignment="1">
      <alignment horizontal="center"/>
    </xf>
    <xf numFmtId="165" fontId="4" fillId="0" borderId="0" xfId="4" applyNumberFormat="1" applyFont="1" applyAlignment="1">
      <alignment horizontal="center"/>
    </xf>
    <xf numFmtId="4" fontId="4" fillId="9" borderId="1" xfId="0" quotePrefix="1" applyNumberFormat="1" applyFont="1" applyFill="1" applyBorder="1" applyAlignment="1">
      <alignment horizontal="center"/>
    </xf>
    <xf numFmtId="3" fontId="0" fillId="4" borderId="2" xfId="0" applyNumberFormat="1" applyFill="1" applyBorder="1" applyAlignment="1">
      <alignment horizontal="center"/>
    </xf>
    <xf numFmtId="165" fontId="0" fillId="0" borderId="2" xfId="4" quotePrefix="1" applyNumberFormat="1" applyFont="1" applyBorder="1" applyAlignment="1">
      <alignment horizontal="center"/>
    </xf>
    <xf numFmtId="165" fontId="0" fillId="0" borderId="1" xfId="4" quotePrefix="1" applyNumberFormat="1" applyFont="1" applyBorder="1" applyAlignment="1">
      <alignment horizontal="center"/>
    </xf>
    <xf numFmtId="165" fontId="0" fillId="0" borderId="7" xfId="4" quotePrefix="1" applyNumberFormat="1" applyFont="1" applyBorder="1" applyAlignment="1">
      <alignment horizontal="center"/>
    </xf>
    <xf numFmtId="165" fontId="0" fillId="8" borderId="9" xfId="4" quotePrefix="1" applyNumberFormat="1" applyFont="1" applyFill="1" applyBorder="1" applyAlignment="1">
      <alignment horizontal="center"/>
    </xf>
    <xf numFmtId="165" fontId="0" fillId="8" borderId="1" xfId="4" quotePrefix="1" applyNumberFormat="1" applyFont="1" applyFill="1" applyBorder="1" applyAlignment="1">
      <alignment horizontal="center"/>
    </xf>
    <xf numFmtId="165" fontId="0" fillId="8" borderId="12" xfId="4" quotePrefix="1" applyNumberFormat="1" applyFont="1" applyFill="1" applyBorder="1" applyAlignment="1">
      <alignment horizontal="center"/>
    </xf>
    <xf numFmtId="165" fontId="0" fillId="9" borderId="1" xfId="4" quotePrefix="1" applyNumberFormat="1" applyFont="1" applyFill="1" applyBorder="1" applyAlignment="1">
      <alignment horizontal="center"/>
    </xf>
    <xf numFmtId="165" fontId="0" fillId="10" borderId="0" xfId="4" applyNumberFormat="1" applyFont="1" applyFill="1" applyAlignment="1">
      <alignment horizontal="center"/>
    </xf>
    <xf numFmtId="4" fontId="0" fillId="0" borderId="0" xfId="0" applyNumberFormat="1" applyAlignment="1"/>
    <xf numFmtId="4" fontId="0" fillId="0" borderId="0" xfId="0" applyNumberFormat="1" applyFill="1" applyAlignment="1">
      <alignment horizontal="left"/>
    </xf>
    <xf numFmtId="4" fontId="0" fillId="0" borderId="0" xfId="0" applyNumberFormat="1" applyFill="1" applyAlignment="1">
      <alignment horizontal="center"/>
    </xf>
    <xf numFmtId="4" fontId="1" fillId="0" borderId="0" xfId="0" applyNumberFormat="1" applyFont="1" applyFill="1" applyAlignment="1">
      <alignment horizontal="center"/>
    </xf>
    <xf numFmtId="4" fontId="4" fillId="0" borderId="0" xfId="0" applyNumberFormat="1" applyFont="1" applyFill="1" applyAlignment="1">
      <alignment horizontal="center"/>
    </xf>
    <xf numFmtId="4" fontId="4" fillId="0" borderId="13" xfId="0" applyNumberFormat="1" applyFont="1" applyFill="1" applyBorder="1" applyAlignment="1">
      <alignment horizontal="center"/>
    </xf>
    <xf numFmtId="4" fontId="0" fillId="0" borderId="14" xfId="1" applyNumberFormat="1" applyFont="1" applyFill="1" applyBorder="1" applyAlignment="1">
      <alignment horizontal="center"/>
    </xf>
    <xf numFmtId="3" fontId="0" fillId="0" borderId="1" xfId="0" applyNumberFormat="1" applyBorder="1" applyAlignment="1">
      <alignment horizontal="right"/>
    </xf>
    <xf numFmtId="4" fontId="15" fillId="0" borderId="0" xfId="0" applyNumberFormat="1" applyFont="1" applyAlignment="1">
      <alignment horizontal="left"/>
    </xf>
    <xf numFmtId="4" fontId="16" fillId="0" borderId="0" xfId="0" applyNumberFormat="1" applyFont="1" applyAlignment="1">
      <alignment horizontal="left"/>
    </xf>
    <xf numFmtId="166" fontId="0" fillId="0" borderId="0" xfId="1" applyNumberFormat="1" applyFont="1"/>
    <xf numFmtId="4" fontId="4" fillId="11" borderId="0" xfId="0" applyNumberFormat="1" applyFont="1" applyFill="1" applyAlignment="1">
      <alignment horizontal="left"/>
    </xf>
    <xf numFmtId="0" fontId="0" fillId="11" borderId="0" xfId="0" applyFill="1" applyAlignment="1">
      <alignment horizontal="center"/>
    </xf>
    <xf numFmtId="0" fontId="0" fillId="11" borderId="0" xfId="0" applyFill="1"/>
    <xf numFmtId="0" fontId="4" fillId="11" borderId="0" xfId="0" applyFont="1" applyFill="1" applyAlignment="1">
      <alignment horizontal="center"/>
    </xf>
    <xf numFmtId="0" fontId="0" fillId="0" borderId="0" xfId="0" applyAlignment="1"/>
    <xf numFmtId="4" fontId="9" fillId="0" borderId="0" xfId="0" applyNumberFormat="1" applyFont="1" applyFill="1" applyBorder="1" applyAlignment="1">
      <alignment horizontal="left"/>
    </xf>
    <xf numFmtId="4" fontId="12" fillId="0" borderId="15" xfId="0" applyNumberFormat="1" applyFont="1" applyFill="1" applyBorder="1" applyAlignment="1">
      <alignment horizontal="center"/>
    </xf>
    <xf numFmtId="3" fontId="0" fillId="0" borderId="15" xfId="0" applyNumberFormat="1" applyFill="1" applyBorder="1" applyAlignment="1">
      <alignment horizontal="center"/>
    </xf>
    <xf numFmtId="4" fontId="0" fillId="0" borderId="15" xfId="0" applyNumberFormat="1" applyFill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18" fillId="0" borderId="0" xfId="0" applyFont="1"/>
    <xf numFmtId="0" fontId="19" fillId="0" borderId="16" xfId="0" applyFont="1" applyBorder="1"/>
    <xf numFmtId="0" fontId="19" fillId="0" borderId="16" xfId="0" applyFont="1" applyBorder="1" applyAlignment="1">
      <alignment horizontal="center"/>
    </xf>
    <xf numFmtId="0" fontId="19" fillId="14" borderId="17" xfId="0" applyFont="1" applyFill="1" applyBorder="1" applyAlignment="1">
      <alignment horizontal="left"/>
    </xf>
    <xf numFmtId="0" fontId="18" fillId="14" borderId="18" xfId="0" applyFont="1" applyFill="1" applyBorder="1"/>
    <xf numFmtId="0" fontId="18" fillId="14" borderId="19" xfId="0" applyFont="1" applyFill="1" applyBorder="1"/>
    <xf numFmtId="0" fontId="19" fillId="14" borderId="17" xfId="0" applyFont="1" applyFill="1" applyBorder="1"/>
    <xf numFmtId="0" fontId="18" fillId="0" borderId="16" xfId="0" applyFont="1" applyBorder="1"/>
    <xf numFmtId="165" fontId="18" fillId="0" borderId="16" xfId="4" applyNumberFormat="1" applyFont="1" applyFill="1" applyBorder="1"/>
    <xf numFmtId="0" fontId="18" fillId="0" borderId="20" xfId="0" applyFont="1" applyBorder="1"/>
    <xf numFmtId="0" fontId="19" fillId="0" borderId="0" xfId="0" applyFont="1" applyAlignment="1">
      <alignment horizontal="center"/>
    </xf>
    <xf numFmtId="0" fontId="19" fillId="0" borderId="21" xfId="0" applyFont="1" applyBorder="1" applyAlignment="1">
      <alignment horizontal="center"/>
    </xf>
    <xf numFmtId="165" fontId="18" fillId="0" borderId="22" xfId="4" applyNumberFormat="1" applyFont="1" applyFill="1" applyBorder="1"/>
    <xf numFmtId="0" fontId="18" fillId="0" borderId="21" xfId="0" applyFont="1" applyBorder="1"/>
    <xf numFmtId="165" fontId="18" fillId="0" borderId="23" xfId="4" applyNumberFormat="1" applyFont="1" applyFill="1" applyBorder="1"/>
    <xf numFmtId="0" fontId="19" fillId="0" borderId="20" xfId="0" applyFont="1" applyBorder="1"/>
    <xf numFmtId="0" fontId="19" fillId="0" borderId="0" xfId="0" applyFont="1"/>
    <xf numFmtId="0" fontId="19" fillId="0" borderId="21" xfId="0" applyFont="1" applyBorder="1"/>
    <xf numFmtId="165" fontId="18" fillId="0" borderId="0" xfId="4" applyNumberFormat="1" applyFont="1" applyFill="1" applyBorder="1"/>
    <xf numFmtId="0" fontId="18" fillId="0" borderId="20" xfId="0" applyFont="1" applyBorder="1" applyAlignment="1">
      <alignment horizontal="left"/>
    </xf>
    <xf numFmtId="166" fontId="18" fillId="0" borderId="0" xfId="1" applyNumberFormat="1" applyFont="1" applyFill="1" applyBorder="1"/>
    <xf numFmtId="0" fontId="19" fillId="0" borderId="16" xfId="0" applyFont="1" applyBorder="1" applyAlignment="1">
      <alignment horizontal="right"/>
    </xf>
    <xf numFmtId="165" fontId="19" fillId="0" borderId="23" xfId="4" applyNumberFormat="1" applyFont="1" applyFill="1" applyBorder="1"/>
    <xf numFmtId="0" fontId="18" fillId="0" borderId="24" xfId="0" applyFont="1" applyBorder="1"/>
    <xf numFmtId="0" fontId="18" fillId="0" borderId="25" xfId="0" applyFont="1" applyBorder="1"/>
    <xf numFmtId="0" fontId="18" fillId="0" borderId="26" xfId="0" applyFont="1" applyBorder="1"/>
    <xf numFmtId="166" fontId="18" fillId="0" borderId="25" xfId="1" applyNumberFormat="1" applyFont="1" applyFill="1" applyBorder="1"/>
    <xf numFmtId="0" fontId="19" fillId="0" borderId="0" xfId="0" applyFont="1" applyAlignment="1">
      <alignment horizontal="left"/>
    </xf>
    <xf numFmtId="1" fontId="19" fillId="0" borderId="0" xfId="0" applyNumberFormat="1" applyFont="1"/>
    <xf numFmtId="1" fontId="18" fillId="0" borderId="0" xfId="0" applyNumberFormat="1" applyFont="1"/>
    <xf numFmtId="167" fontId="18" fillId="0" borderId="0" xfId="0" applyNumberFormat="1" applyFont="1"/>
    <xf numFmtId="2" fontId="18" fillId="0" borderId="0" xfId="0" applyNumberFormat="1" applyFont="1"/>
    <xf numFmtId="14" fontId="20" fillId="0" borderId="0" xfId="0" applyNumberFormat="1" applyFont="1" applyAlignment="1">
      <alignment horizontal="center" vertical="center" wrapText="1"/>
    </xf>
    <xf numFmtId="4" fontId="4" fillId="0" borderId="1" xfId="0" applyNumberFormat="1" applyFont="1" applyBorder="1" applyAlignment="1">
      <alignment horizontal="right"/>
    </xf>
    <xf numFmtId="4" fontId="0" fillId="0" borderId="1" xfId="0" applyNumberFormat="1" applyBorder="1" applyAlignment="1">
      <alignment horizontal="right"/>
    </xf>
    <xf numFmtId="4" fontId="0" fillId="10" borderId="1" xfId="0" applyNumberFormat="1" applyFill="1" applyBorder="1" applyAlignment="1">
      <alignment horizontal="center"/>
    </xf>
    <xf numFmtId="165" fontId="18" fillId="0" borderId="0" xfId="0" applyNumberFormat="1" applyFont="1"/>
    <xf numFmtId="0" fontId="18" fillId="0" borderId="0" xfId="0" applyFont="1" applyAlignment="1">
      <alignment horizontal="right"/>
    </xf>
    <xf numFmtId="0" fontId="18" fillId="0" borderId="0" xfId="0" applyFont="1" applyFill="1" applyBorder="1" applyAlignment="1">
      <alignment horizontal="right"/>
    </xf>
    <xf numFmtId="4" fontId="1" fillId="2" borderId="27" xfId="0" applyNumberFormat="1" applyFont="1" applyFill="1" applyBorder="1" applyAlignment="1">
      <alignment horizontal="left"/>
    </xf>
    <xf numFmtId="4" fontId="1" fillId="2" borderId="28" xfId="0" applyNumberFormat="1" applyFont="1" applyFill="1" applyBorder="1" applyAlignment="1">
      <alignment horizontal="left"/>
    </xf>
    <xf numFmtId="4" fontId="1" fillId="2" borderId="29" xfId="0" applyNumberFormat="1" applyFont="1" applyFill="1" applyBorder="1" applyAlignment="1">
      <alignment horizontal="left"/>
    </xf>
    <xf numFmtId="4" fontId="1" fillId="2" borderId="30" xfId="0" applyNumberFormat="1" applyFont="1" applyFill="1" applyBorder="1" applyAlignment="1">
      <alignment horizontal="left"/>
    </xf>
    <xf numFmtId="4" fontId="1" fillId="2" borderId="31" xfId="0" applyNumberFormat="1" applyFont="1" applyFill="1" applyBorder="1" applyAlignment="1">
      <alignment horizontal="left"/>
    </xf>
    <xf numFmtId="4" fontId="1" fillId="2" borderId="32" xfId="0" applyNumberFormat="1" applyFont="1" applyFill="1" applyBorder="1" applyAlignment="1">
      <alignment horizontal="left"/>
    </xf>
    <xf numFmtId="4" fontId="0" fillId="0" borderId="0" xfId="0" applyNumberFormat="1" applyBorder="1" applyAlignment="1">
      <alignment horizontal="left"/>
    </xf>
    <xf numFmtId="4" fontId="0" fillId="0" borderId="0" xfId="0" applyNumberForma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3" fontId="4" fillId="0" borderId="0" xfId="0" applyNumberFormat="1" applyFont="1" applyBorder="1" applyAlignment="1">
      <alignment horizontal="center"/>
    </xf>
    <xf numFmtId="1" fontId="21" fillId="0" borderId="0" xfId="0" applyNumberFormat="1" applyFont="1"/>
    <xf numFmtId="0" fontId="22" fillId="15" borderId="0" xfId="0" applyFont="1" applyFill="1"/>
    <xf numFmtId="0" fontId="19" fillId="12" borderId="16" xfId="0" applyFont="1" applyFill="1" applyBorder="1" applyAlignment="1">
      <alignment horizontal="center"/>
    </xf>
    <xf numFmtId="0" fontId="19" fillId="13" borderId="16" xfId="0" applyFont="1" applyFill="1" applyBorder="1" applyAlignment="1">
      <alignment horizontal="center"/>
    </xf>
  </cellXfs>
  <cellStyles count="5">
    <cellStyle name="Comma" xfId="1" builtinId="3"/>
    <cellStyle name="Currency" xfId="4" builtinId="4"/>
    <cellStyle name="Normal" xfId="0" builtinId="0"/>
    <cellStyle name="Percent" xfId="2" builtinId="5"/>
    <cellStyle name="Strike" xfId="3" xr:uid="{66DB1AD4-9C3A-7144-A809-72B45CC0090D}"/>
  </cellStyles>
  <dxfs count="0"/>
  <tableStyles count="0" defaultTableStyle="TableStyleMedium2" defaultPivotStyle="PivotStyleLight16"/>
  <colors>
    <mruColors>
      <color rgb="FFFF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410635</xdr:colOff>
      <xdr:row>19</xdr:row>
      <xdr:rowOff>116417</xdr:rowOff>
    </xdr:from>
    <xdr:to>
      <xdr:col>26</xdr:col>
      <xdr:colOff>357718</xdr:colOff>
      <xdr:row>21</xdr:row>
      <xdr:rowOff>137583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853D6E1-DE00-431B-9E40-8B34BE271079}"/>
            </a:ext>
          </a:extLst>
        </xdr:cNvPr>
        <xdr:cNvSpPr txBox="1"/>
      </xdr:nvSpPr>
      <xdr:spPr>
        <a:xfrm>
          <a:off x="16507885" y="4506576"/>
          <a:ext cx="2285038" cy="402166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800">
              <a:solidFill>
                <a:srgbClr val="FF0000">
                  <a:alpha val="62000"/>
                </a:srgbClr>
              </a:solidFill>
              <a:latin typeface="Stencil" panose="040409050D0802020404" pitchFamily="82" charset="0"/>
            </a:rPr>
            <a:t>HOSPITALITY</a:t>
          </a:r>
        </a:p>
      </xdr:txBody>
    </xdr:sp>
    <xdr:clientData/>
  </xdr:twoCellAnchor>
  <xdr:twoCellAnchor>
    <xdr:from>
      <xdr:col>5</xdr:col>
      <xdr:colOff>558800</xdr:colOff>
      <xdr:row>19</xdr:row>
      <xdr:rowOff>118744</xdr:rowOff>
    </xdr:from>
    <xdr:to>
      <xdr:col>10</xdr:col>
      <xdr:colOff>472863</xdr:colOff>
      <xdr:row>21</xdr:row>
      <xdr:rowOff>143720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C0CE524-12AF-4C6C-8FA7-FD72C4268829}"/>
            </a:ext>
          </a:extLst>
        </xdr:cNvPr>
        <xdr:cNvSpPr txBox="1"/>
      </xdr:nvSpPr>
      <xdr:spPr>
        <a:xfrm>
          <a:off x="6273800" y="4597611"/>
          <a:ext cx="3114463" cy="414442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800">
              <a:solidFill>
                <a:srgbClr val="FF0000">
                  <a:alpha val="62000"/>
                </a:srgbClr>
              </a:solidFill>
              <a:latin typeface="Stencil" panose="040409050D0802020404" pitchFamily="82" charset="0"/>
            </a:rPr>
            <a:t>HOSPITALITY</a:t>
          </a:r>
        </a:p>
      </xdr:txBody>
    </xdr:sp>
    <xdr:clientData/>
  </xdr:twoCellAnchor>
  <xdr:twoCellAnchor>
    <xdr:from>
      <xdr:col>23</xdr:col>
      <xdr:colOff>582854</xdr:colOff>
      <xdr:row>43</xdr:row>
      <xdr:rowOff>19436</xdr:rowOff>
    </xdr:from>
    <xdr:to>
      <xdr:col>26</xdr:col>
      <xdr:colOff>559378</xdr:colOff>
      <xdr:row>45</xdr:row>
      <xdr:rowOff>36368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75C16D9-E137-874A-BD7A-1C247EACA051}"/>
            </a:ext>
          </a:extLst>
        </xdr:cNvPr>
        <xdr:cNvSpPr txBox="1"/>
      </xdr:nvSpPr>
      <xdr:spPr>
        <a:xfrm>
          <a:off x="16680104" y="8990254"/>
          <a:ext cx="2314479" cy="397932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800">
              <a:solidFill>
                <a:schemeClr val="accent6">
                  <a:lumMod val="75000"/>
                  <a:alpha val="62000"/>
                </a:schemeClr>
              </a:solidFill>
              <a:latin typeface="Stencil" panose="040409050D0802020404" pitchFamily="82" charset="0"/>
            </a:rPr>
            <a:t>PHASE 2</a:t>
          </a:r>
        </a:p>
      </xdr:txBody>
    </xdr:sp>
    <xdr:clientData/>
  </xdr:twoCellAnchor>
  <xdr:twoCellAnchor>
    <xdr:from>
      <xdr:col>23</xdr:col>
      <xdr:colOff>770658</xdr:colOff>
      <xdr:row>57</xdr:row>
      <xdr:rowOff>60614</xdr:rowOff>
    </xdr:from>
    <xdr:to>
      <xdr:col>29</xdr:col>
      <xdr:colOff>320386</xdr:colOff>
      <xdr:row>73</xdr:row>
      <xdr:rowOff>155864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3BEFD050-37C0-459B-959D-A04560179A76}"/>
            </a:ext>
          </a:extLst>
        </xdr:cNvPr>
        <xdr:cNvSpPr txBox="1"/>
      </xdr:nvSpPr>
      <xdr:spPr>
        <a:xfrm>
          <a:off x="18703635" y="11698432"/>
          <a:ext cx="3827319" cy="3143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1"/>
            <a:t>Estimated</a:t>
          </a:r>
          <a:r>
            <a:rPr lang="en-US" sz="1200" b="1" baseline="0"/>
            <a:t> Square Footage/Rooms/Units - Full Buildout/No Bonus</a:t>
          </a:r>
        </a:p>
        <a:p>
          <a:endParaRPr lang="en-US" sz="1100" baseline="0"/>
        </a:p>
        <a:p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Maximum Commercial Buildout - Phase 1: 476,855 s.f.</a:t>
          </a:r>
          <a:endParaRPr lang="en-US">
            <a:effectLst/>
          </a:endParaRPr>
        </a:p>
        <a:p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 2" panose="05020102010507070707" pitchFamily="18" charset="2"/>
            </a:rPr>
            <a:t>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Retailing - 209,056 or 43.8% (80% floor 1)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 2" panose="05020102010507070707" pitchFamily="18" charset="2"/>
            </a:rPr>
            <a:t>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Services - 73,820 or 15.5% (20% floor 1 + 10% floors 2 and 3)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 2" panose="05020102010507070707" pitchFamily="18" charset="2"/>
            </a:rPr>
            <a:t>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Office - 194,008 or 40.7% (90% floors 2 -3 + 100% floors 4-5)</a:t>
          </a:r>
          <a:endParaRPr lang="en-US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Maximum Residential Buildout - Phase 1: 362,501</a:t>
          </a:r>
          <a:endParaRPr lang="en-US" b="1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 2" panose="05020102010507070707" pitchFamily="18" charset="2"/>
            </a:rPr>
            <a:t>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Unit Mix - 12% 2BR / 44% 1BR / 44% Studio</a:t>
          </a:r>
          <a:endParaRPr lang="en-US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 2" panose="05020102010507070707" pitchFamily="18" charset="2"/>
            </a:rPr>
            <a:t>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Unit Size Mean - 750 s.f.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 2" panose="05020102010507070707" pitchFamily="18" charset="2"/>
            </a:rPr>
            <a:t>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Estimated Units - 180</a:t>
          </a:r>
          <a:endParaRPr lang="en-US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>
            <a:effectLst/>
          </a:endParaRPr>
        </a:p>
        <a:p>
          <a:pPr eaLnBrk="1" fontAlgn="auto" latinLnBrk="0" hangingPunct="1"/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Maximum Hospitality Buildout - Phase 1: 176,000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 2" panose="05020102010507070707" pitchFamily="18" charset="2"/>
            </a:rPr>
            <a:t>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Floor Area - 176,000 s.f.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 2" panose="05020102010507070707" pitchFamily="18" charset="2"/>
            </a:rPr>
            <a:t>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Unit Size Mean - 400 s.f.</a:t>
          </a:r>
        </a:p>
        <a:p>
          <a:pPr eaLnBrk="1" fontAlgn="auto" latinLnBrk="0" hangingPunct="1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 2" panose="05020102010507070707" pitchFamily="18" charset="2"/>
            </a:rPr>
            <a:t>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Non-Room Area = 35%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 2" panose="05020102010507070707" pitchFamily="18" charset="2"/>
            </a:rPr>
            <a:t>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Estimated Rooms - 286</a:t>
          </a:r>
          <a:endParaRPr lang="en-US">
            <a:effectLst/>
          </a:endParaRPr>
        </a:p>
      </xdr:txBody>
    </xdr:sp>
    <xdr:clientData/>
  </xdr:twoCellAnchor>
  <xdr:twoCellAnchor>
    <xdr:from>
      <xdr:col>23</xdr:col>
      <xdr:colOff>596709</xdr:colOff>
      <xdr:row>35</xdr:row>
      <xdr:rowOff>111223</xdr:rowOff>
    </xdr:from>
    <xdr:to>
      <xdr:col>26</xdr:col>
      <xdr:colOff>573233</xdr:colOff>
      <xdr:row>37</xdr:row>
      <xdr:rowOff>128155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BB32644C-2EFC-4760-96F0-97D29A96AA75}"/>
            </a:ext>
          </a:extLst>
        </xdr:cNvPr>
        <xdr:cNvSpPr txBox="1"/>
      </xdr:nvSpPr>
      <xdr:spPr>
        <a:xfrm>
          <a:off x="16693959" y="7558041"/>
          <a:ext cx="2314479" cy="397932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800">
              <a:solidFill>
                <a:schemeClr val="accent6">
                  <a:lumMod val="75000"/>
                  <a:alpha val="62000"/>
                </a:schemeClr>
              </a:solidFill>
              <a:latin typeface="Stencil" panose="040409050D0802020404" pitchFamily="82" charset="0"/>
            </a:rPr>
            <a:t>PHASE 2</a:t>
          </a:r>
        </a:p>
      </xdr:txBody>
    </xdr:sp>
    <xdr:clientData/>
  </xdr:twoCellAnchor>
  <xdr:twoCellAnchor>
    <xdr:from>
      <xdr:col>33</xdr:col>
      <xdr:colOff>363682</xdr:colOff>
      <xdr:row>0</xdr:row>
      <xdr:rowOff>588818</xdr:rowOff>
    </xdr:from>
    <xdr:to>
      <xdr:col>35</xdr:col>
      <xdr:colOff>588818</xdr:colOff>
      <xdr:row>0</xdr:row>
      <xdr:rowOff>822614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7184097-2465-425F-BAC9-654466522447}"/>
            </a:ext>
          </a:extLst>
        </xdr:cNvPr>
        <xdr:cNvSpPr txBox="1"/>
      </xdr:nvSpPr>
      <xdr:spPr>
        <a:xfrm>
          <a:off x="25639568" y="588818"/>
          <a:ext cx="1783773" cy="233796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1">
              <a:solidFill>
                <a:schemeClr val="bg1"/>
              </a:solidFill>
            </a:rPr>
            <a:t>NO DENSITY BONUSES</a:t>
          </a:r>
        </a:p>
      </xdr:txBody>
    </xdr:sp>
    <xdr:clientData/>
  </xdr:twoCellAnchor>
  <xdr:twoCellAnchor>
    <xdr:from>
      <xdr:col>33</xdr:col>
      <xdr:colOff>424295</xdr:colOff>
      <xdr:row>77</xdr:row>
      <xdr:rowOff>606137</xdr:rowOff>
    </xdr:from>
    <xdr:to>
      <xdr:col>36</xdr:col>
      <xdr:colOff>77932</xdr:colOff>
      <xdr:row>77</xdr:row>
      <xdr:rowOff>883228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5A675771-DADB-4CC4-868F-01EC8923B4C9}"/>
            </a:ext>
          </a:extLst>
        </xdr:cNvPr>
        <xdr:cNvSpPr txBox="1"/>
      </xdr:nvSpPr>
      <xdr:spPr>
        <a:xfrm>
          <a:off x="25700181" y="16053955"/>
          <a:ext cx="1991592" cy="277091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1">
              <a:solidFill>
                <a:schemeClr val="bg1"/>
              </a:solidFill>
            </a:rPr>
            <a:t>WITH</a:t>
          </a:r>
          <a:r>
            <a:rPr lang="en-US" sz="1200" b="1" baseline="0">
              <a:solidFill>
                <a:schemeClr val="bg1"/>
              </a:solidFill>
            </a:rPr>
            <a:t> DENSITY </a:t>
          </a:r>
          <a:r>
            <a:rPr lang="en-US" sz="1200" b="1">
              <a:solidFill>
                <a:schemeClr val="bg1"/>
              </a:solidFill>
            </a:rPr>
            <a:t>BONUSES</a:t>
          </a:r>
        </a:p>
      </xdr:txBody>
    </xdr:sp>
    <xdr:clientData/>
  </xdr:twoCellAnchor>
  <xdr:oneCellAnchor>
    <xdr:from>
      <xdr:col>12</xdr:col>
      <xdr:colOff>658865</xdr:colOff>
      <xdr:row>55</xdr:row>
      <xdr:rowOff>8467</xdr:rowOff>
    </xdr:from>
    <xdr:ext cx="5242402" cy="137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4D5EB32B-B031-0619-0FAC-EE19B2D6C391}"/>
            </a:ext>
          </a:extLst>
        </xdr:cNvPr>
        <xdr:cNvSpPr txBox="1"/>
      </xdr:nvSpPr>
      <xdr:spPr>
        <a:xfrm flipH="1">
          <a:off x="11750198" y="11506200"/>
          <a:ext cx="5242402" cy="137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23</xdr:col>
      <xdr:colOff>389658</xdr:colOff>
      <xdr:row>129</xdr:row>
      <xdr:rowOff>29413</xdr:rowOff>
    </xdr:from>
    <xdr:to>
      <xdr:col>29</xdr:col>
      <xdr:colOff>164522</xdr:colOff>
      <xdr:row>146</xdr:row>
      <xdr:rowOff>147204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C505365E-E149-A445-B7C2-F8F91A127F83}"/>
            </a:ext>
          </a:extLst>
        </xdr:cNvPr>
        <xdr:cNvSpPr txBox="1"/>
      </xdr:nvSpPr>
      <xdr:spPr>
        <a:xfrm>
          <a:off x="18322635" y="26127913"/>
          <a:ext cx="4052455" cy="335629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1"/>
            <a:t>Estimated</a:t>
          </a:r>
          <a:r>
            <a:rPr lang="en-US" sz="1200" b="1" baseline="0"/>
            <a:t> Square Footage/Rooms/Units - Full Buildout/Bonus</a:t>
          </a:r>
        </a:p>
        <a:p>
          <a:endParaRPr lang="en-US" sz="1100" baseline="0"/>
        </a:p>
        <a:p>
          <a:r>
            <a:rPr lang="en-US" sz="1100" b="1" baseline="0"/>
            <a:t>Maximum Commercial Buildout - Phase 1: 476,855 s.f.</a:t>
          </a:r>
        </a:p>
        <a:p>
          <a:r>
            <a:rPr lang="en-US" sz="1100" baseline="0">
              <a:sym typeface="Wingdings 2" panose="05020102010507070707" pitchFamily="18" charset="2"/>
            </a:rPr>
            <a:t>  Retailing - 209,056 or 43.8% (80% floor 1)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 2" panose="05020102010507070707" pitchFamily="18" charset="2"/>
            </a:rPr>
            <a:t>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Services - 73,820 or 15.5% (20% floor 1 + 10% floors 2 and 3)</a:t>
          </a:r>
          <a:endParaRPr lang="en-US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 2" panose="05020102010507070707" pitchFamily="18" charset="2"/>
            </a:rPr>
            <a:t>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Office - 194,008 or 40.7% (90% floors 2 -3 + 100% floors 4-5)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Maximum Residential Buildout - Phase 1: 402,627</a:t>
          </a:r>
          <a:endParaRPr lang="en-US" b="1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 2" panose="05020102010507070707" pitchFamily="18" charset="2"/>
            </a:rPr>
            <a:t>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Unit Mix - 10% 2BR / 45% 1BR / 45% Studio</a:t>
          </a:r>
          <a:endParaRPr lang="en-US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 2" panose="05020102010507070707" pitchFamily="18" charset="2"/>
            </a:rPr>
            <a:t>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Unit Size Mean - 750 s.f.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 2" panose="05020102010507070707" pitchFamily="18" charset="2"/>
            </a:rPr>
            <a:t>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Estimated Units - 536</a:t>
          </a:r>
          <a:endParaRPr lang="en-US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>
            <a:effectLst/>
          </a:endParaRPr>
        </a:p>
        <a:p>
          <a:pPr eaLnBrk="1" fontAlgn="auto" latinLnBrk="0" hangingPunct="1"/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Maximum Hospitality Buildout - Phase 1: 220,000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 2" panose="05020102010507070707" pitchFamily="18" charset="2"/>
            </a:rPr>
            <a:t>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Floor Area - 220,000 s.f.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 2" panose="05020102010507070707" pitchFamily="18" charset="2"/>
            </a:rPr>
            <a:t>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Unit Size Mean - 400 s.f.</a:t>
          </a:r>
        </a:p>
        <a:p>
          <a:pPr eaLnBrk="1" fontAlgn="auto" latinLnBrk="0" hangingPunct="1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 2" panose="05020102010507070707" pitchFamily="18" charset="2"/>
            </a:rPr>
            <a:t>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Non-Room Area = 35%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 2" panose="05020102010507070707" pitchFamily="18" charset="2"/>
            </a:rPr>
            <a:t>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Estimated Rooms - 358</a:t>
          </a:r>
          <a:endParaRPr lang="en-US"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358140</xdr:colOff>
      <xdr:row>3</xdr:row>
      <xdr:rowOff>63500</xdr:rowOff>
    </xdr:from>
    <xdr:to>
      <xdr:col>22</xdr:col>
      <xdr:colOff>108646</xdr:colOff>
      <xdr:row>45</xdr:row>
      <xdr:rowOff>123644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5C0F899-9B94-4D30-9C79-95ADAD561A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36140" y="533400"/>
          <a:ext cx="7180006" cy="811149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6A31A-F281-4711-9834-DF3557642FD5}">
  <sheetPr>
    <pageSetUpPr fitToPage="1"/>
  </sheetPr>
  <dimension ref="A1:AU149"/>
  <sheetViews>
    <sheetView zoomScale="110" zoomScaleNormal="110" workbookViewId="0">
      <pane xSplit="3" topLeftCell="D1" activePane="topRight" state="frozen"/>
      <selection pane="topRight" activeCell="AF147" sqref="AF147"/>
    </sheetView>
  </sheetViews>
  <sheetFormatPr defaultColWidth="8.7109375" defaultRowHeight="15" x14ac:dyDescent="0.25"/>
  <cols>
    <col min="1" max="2" width="8.7109375" style="15"/>
    <col min="3" max="3" width="12.28515625" style="15" customWidth="1"/>
    <col min="4" max="4" width="36.7109375" style="15" customWidth="1"/>
    <col min="5" max="6" width="8.7109375" style="15"/>
    <col min="7" max="7" width="7.28515625" style="15" customWidth="1"/>
    <col min="8" max="10" width="8.7109375" style="15"/>
    <col min="11" max="11" width="18" style="15" customWidth="1"/>
    <col min="12" max="12" width="10.42578125" style="15" customWidth="1"/>
    <col min="13" max="13" width="8.7109375" style="15"/>
    <col min="14" max="14" width="12.7109375" style="15" customWidth="1"/>
    <col min="15" max="15" width="10.42578125" style="15" customWidth="1"/>
    <col min="16" max="16" width="11" style="15" customWidth="1"/>
    <col min="17" max="17" width="9.7109375" style="15" bestFit="1" customWidth="1"/>
    <col min="18" max="18" width="8.7109375" style="15"/>
    <col min="19" max="19" width="15" style="15" customWidth="1"/>
    <col min="20" max="20" width="11.85546875" style="15" customWidth="1"/>
    <col min="21" max="28" width="11.7109375" style="15" customWidth="1"/>
    <col min="29" max="29" width="5.7109375" style="15" customWidth="1"/>
    <col min="30" max="30" width="11.7109375" style="15" customWidth="1"/>
    <col min="31" max="31" width="10.85546875" style="15" customWidth="1"/>
    <col min="32" max="38" width="11.7109375" style="15" customWidth="1"/>
    <col min="39" max="39" width="14.42578125" style="15" customWidth="1"/>
    <col min="40" max="40" width="7.140625" style="20" customWidth="1"/>
    <col min="41" max="41" width="20.7109375" style="20" customWidth="1"/>
    <col min="42" max="42" width="10.140625" style="15" bestFit="1" customWidth="1"/>
    <col min="43" max="16384" width="8.7109375" style="15"/>
  </cols>
  <sheetData>
    <row r="1" spans="1:47" s="14" customFormat="1" ht="71.849999999999994" customHeight="1" thickBot="1" x14ac:dyDescent="0.3">
      <c r="B1" s="22" t="s">
        <v>262</v>
      </c>
      <c r="K1" s="176">
        <v>45894</v>
      </c>
      <c r="U1" s="23" t="s">
        <v>124</v>
      </c>
      <c r="AF1" s="24" t="s">
        <v>123</v>
      </c>
      <c r="AN1" s="22"/>
      <c r="AO1" s="22"/>
    </row>
    <row r="2" spans="1:47" ht="16.5" thickTop="1" x14ac:dyDescent="0.25">
      <c r="B2" s="97" t="s">
        <v>125</v>
      </c>
      <c r="C2" s="94"/>
      <c r="D2" s="94"/>
      <c r="E2" s="94" t="s">
        <v>19</v>
      </c>
      <c r="F2" s="94"/>
      <c r="G2" s="94" t="s">
        <v>151</v>
      </c>
      <c r="H2" s="94" t="s">
        <v>21</v>
      </c>
      <c r="I2" s="94" t="s">
        <v>70</v>
      </c>
      <c r="J2" s="94" t="s">
        <v>70</v>
      </c>
      <c r="K2" s="94" t="s">
        <v>23</v>
      </c>
      <c r="L2" s="94" t="s">
        <v>22</v>
      </c>
      <c r="M2" s="94"/>
      <c r="N2" s="94"/>
      <c r="O2" s="94" t="s">
        <v>58</v>
      </c>
      <c r="P2" s="94" t="s">
        <v>62</v>
      </c>
      <c r="Q2" s="94" t="s">
        <v>63</v>
      </c>
      <c r="R2" s="94"/>
      <c r="S2" s="94" t="s">
        <v>175</v>
      </c>
      <c r="T2" s="94" t="s">
        <v>175</v>
      </c>
      <c r="U2" s="94" t="s">
        <v>120</v>
      </c>
      <c r="V2" s="94" t="s">
        <v>120</v>
      </c>
      <c r="W2" s="94" t="s">
        <v>120</v>
      </c>
      <c r="X2" s="94" t="s">
        <v>120</v>
      </c>
      <c r="Y2" s="94" t="s">
        <v>120</v>
      </c>
      <c r="Z2" s="94" t="s">
        <v>120</v>
      </c>
      <c r="AA2" s="94" t="s">
        <v>120</v>
      </c>
      <c r="AB2" s="94" t="s">
        <v>120</v>
      </c>
      <c r="AC2" s="126"/>
      <c r="AD2" s="92"/>
      <c r="AE2" s="93"/>
      <c r="AF2" s="94" t="s">
        <v>120</v>
      </c>
      <c r="AG2" s="94" t="s">
        <v>120</v>
      </c>
      <c r="AH2" s="94" t="s">
        <v>120</v>
      </c>
      <c r="AI2" s="94" t="s">
        <v>120</v>
      </c>
      <c r="AJ2" s="94" t="s">
        <v>120</v>
      </c>
      <c r="AK2" s="94" t="s">
        <v>120</v>
      </c>
      <c r="AL2" s="94" t="s">
        <v>120</v>
      </c>
      <c r="AM2" s="94" t="s">
        <v>120</v>
      </c>
      <c r="AN2" s="20" t="s">
        <v>125</v>
      </c>
      <c r="AO2" s="183" t="s">
        <v>129</v>
      </c>
      <c r="AP2" s="186"/>
      <c r="AQ2" s="186"/>
      <c r="AR2" s="186"/>
      <c r="AS2" s="186"/>
      <c r="AT2" s="186"/>
      <c r="AU2" s="185"/>
    </row>
    <row r="3" spans="1:47" ht="16.5" thickBot="1" x14ac:dyDescent="0.3">
      <c r="A3" s="21"/>
      <c r="B3" s="95" t="s">
        <v>0</v>
      </c>
      <c r="C3" s="96" t="s">
        <v>1</v>
      </c>
      <c r="D3" s="96" t="s">
        <v>73</v>
      </c>
      <c r="E3" s="96" t="s">
        <v>20</v>
      </c>
      <c r="F3" s="96" t="s">
        <v>25</v>
      </c>
      <c r="G3" s="96" t="s">
        <v>149</v>
      </c>
      <c r="H3" s="96" t="s">
        <v>22</v>
      </c>
      <c r="I3" s="96" t="s">
        <v>25</v>
      </c>
      <c r="J3" s="96" t="s">
        <v>149</v>
      </c>
      <c r="K3" s="96" t="s">
        <v>22</v>
      </c>
      <c r="L3" s="96" t="s">
        <v>25</v>
      </c>
      <c r="M3" s="96" t="s">
        <v>49</v>
      </c>
      <c r="N3" s="96" t="s">
        <v>152</v>
      </c>
      <c r="O3" s="96" t="s">
        <v>59</v>
      </c>
      <c r="P3" s="96" t="s">
        <v>60</v>
      </c>
      <c r="Q3" s="96" t="s">
        <v>60</v>
      </c>
      <c r="R3" s="96" t="s">
        <v>68</v>
      </c>
      <c r="S3" s="96" t="s">
        <v>176</v>
      </c>
      <c r="T3" s="96" t="s">
        <v>173</v>
      </c>
      <c r="U3" s="96" t="s">
        <v>112</v>
      </c>
      <c r="V3" s="96" t="s">
        <v>113</v>
      </c>
      <c r="W3" s="96" t="s">
        <v>114</v>
      </c>
      <c r="X3" s="96" t="s">
        <v>115</v>
      </c>
      <c r="Y3" s="96" t="s">
        <v>116</v>
      </c>
      <c r="Z3" s="96" t="s">
        <v>117</v>
      </c>
      <c r="AA3" s="96" t="s">
        <v>118</v>
      </c>
      <c r="AB3" s="96" t="s">
        <v>119</v>
      </c>
      <c r="AC3" s="126"/>
      <c r="AD3" s="95" t="s">
        <v>0</v>
      </c>
      <c r="AE3" s="96" t="s">
        <v>1</v>
      </c>
      <c r="AF3" s="96" t="s">
        <v>112</v>
      </c>
      <c r="AG3" s="96" t="s">
        <v>113</v>
      </c>
      <c r="AH3" s="96" t="s">
        <v>114</v>
      </c>
      <c r="AI3" s="96" t="s">
        <v>115</v>
      </c>
      <c r="AJ3" s="96" t="s">
        <v>116</v>
      </c>
      <c r="AK3" s="96" t="s">
        <v>117</v>
      </c>
      <c r="AL3" s="96" t="s">
        <v>118</v>
      </c>
      <c r="AM3" s="96" t="s">
        <v>119</v>
      </c>
      <c r="AO3" s="184" t="s">
        <v>125</v>
      </c>
      <c r="AP3" s="188"/>
      <c r="AQ3" s="188"/>
      <c r="AR3" s="188"/>
      <c r="AS3" s="188"/>
      <c r="AT3" s="188"/>
      <c r="AU3" s="187"/>
    </row>
    <row r="4" spans="1:47" ht="15.75" thickTop="1" x14ac:dyDescent="0.25">
      <c r="A4" s="21"/>
      <c r="B4" s="34">
        <v>2</v>
      </c>
      <c r="C4" s="1" t="s">
        <v>2</v>
      </c>
      <c r="D4" s="1" t="s">
        <v>74</v>
      </c>
      <c r="E4" s="1" t="s">
        <v>24</v>
      </c>
      <c r="F4" s="1" t="s">
        <v>46</v>
      </c>
      <c r="G4" s="68" t="s">
        <v>150</v>
      </c>
      <c r="H4" s="1" t="s">
        <v>32</v>
      </c>
      <c r="I4" s="1" t="s">
        <v>39</v>
      </c>
      <c r="J4" s="62">
        <v>3.5</v>
      </c>
      <c r="K4" s="1" t="s">
        <v>43</v>
      </c>
      <c r="L4" s="3" t="s">
        <v>71</v>
      </c>
      <c r="M4" s="3" t="s">
        <v>50</v>
      </c>
      <c r="N4" s="4">
        <v>0.5</v>
      </c>
      <c r="O4" s="35">
        <v>13885</v>
      </c>
      <c r="P4" s="35">
        <v>16464</v>
      </c>
      <c r="Q4" s="98" t="s">
        <v>40</v>
      </c>
      <c r="R4" s="5">
        <f>+P4/O4</f>
        <v>1.1857400072020166</v>
      </c>
      <c r="S4" s="115">
        <v>6476000</v>
      </c>
      <c r="T4" s="115">
        <v>73762</v>
      </c>
      <c r="U4" s="34">
        <v>5582</v>
      </c>
      <c r="V4" s="34">
        <v>5582</v>
      </c>
      <c r="W4" s="34">
        <v>5582</v>
      </c>
      <c r="X4" s="104">
        <v>2200</v>
      </c>
      <c r="Y4" s="25" t="s">
        <v>40</v>
      </c>
      <c r="Z4" s="9" t="s">
        <v>40</v>
      </c>
      <c r="AA4" s="9" t="s">
        <v>40</v>
      </c>
      <c r="AB4" s="78">
        <f t="shared" ref="AB4:AB16" si="0">SUM(U4:AA4)</f>
        <v>18946</v>
      </c>
      <c r="AC4" s="127"/>
      <c r="AD4" s="34">
        <v>2</v>
      </c>
      <c r="AE4" s="1" t="s">
        <v>2</v>
      </c>
      <c r="AF4" s="34">
        <v>5582</v>
      </c>
      <c r="AG4" s="34">
        <v>5582</v>
      </c>
      <c r="AH4" s="34">
        <v>5582</v>
      </c>
      <c r="AI4" s="9" t="s">
        <v>40</v>
      </c>
      <c r="AJ4" s="9" t="s">
        <v>40</v>
      </c>
      <c r="AK4" s="9" t="s">
        <v>40</v>
      </c>
      <c r="AL4" s="9" t="s">
        <v>40</v>
      </c>
      <c r="AM4" s="78">
        <f t="shared" ref="AM4:AM16" si="1">SUM(AF4:AL4)</f>
        <v>16746</v>
      </c>
    </row>
    <row r="5" spans="1:47" x14ac:dyDescent="0.25">
      <c r="A5" s="21"/>
      <c r="B5" s="2" t="s">
        <v>65</v>
      </c>
      <c r="C5" s="2" t="s">
        <v>2</v>
      </c>
      <c r="D5" s="2" t="s">
        <v>75</v>
      </c>
      <c r="E5" s="2" t="s">
        <v>24</v>
      </c>
      <c r="F5" s="2" t="s">
        <v>46</v>
      </c>
      <c r="G5" s="68" t="s">
        <v>150</v>
      </c>
      <c r="H5" s="2" t="s">
        <v>32</v>
      </c>
      <c r="I5" s="2" t="s">
        <v>39</v>
      </c>
      <c r="J5" s="57">
        <v>3.5</v>
      </c>
      <c r="K5" s="2" t="s">
        <v>43</v>
      </c>
      <c r="L5" s="6" t="s">
        <v>71</v>
      </c>
      <c r="M5" s="6" t="s">
        <v>50</v>
      </c>
      <c r="N5" s="7">
        <v>0.5</v>
      </c>
      <c r="O5" s="25">
        <v>8308</v>
      </c>
      <c r="P5" s="25">
        <v>5652</v>
      </c>
      <c r="Q5" s="99" t="s">
        <v>40</v>
      </c>
      <c r="R5" s="8">
        <f t="shared" ref="R5:R49" si="2">+P5/O5</f>
        <v>0.68030813673567647</v>
      </c>
      <c r="S5" s="116">
        <v>2367000</v>
      </c>
      <c r="T5" s="116">
        <v>26960</v>
      </c>
      <c r="U5" s="58">
        <v>5652</v>
      </c>
      <c r="V5" s="58">
        <v>5652</v>
      </c>
      <c r="W5" s="104">
        <v>5652</v>
      </c>
      <c r="X5" s="104">
        <v>2825</v>
      </c>
      <c r="Y5" s="25" t="s">
        <v>40</v>
      </c>
      <c r="Z5" s="9" t="s">
        <v>40</v>
      </c>
      <c r="AA5" s="9" t="s">
        <v>40</v>
      </c>
      <c r="AB5" s="78">
        <f t="shared" si="0"/>
        <v>19781</v>
      </c>
      <c r="AC5" s="127"/>
      <c r="AD5" s="2" t="s">
        <v>65</v>
      </c>
      <c r="AE5" s="2" t="s">
        <v>2</v>
      </c>
      <c r="AF5" s="58">
        <v>5652</v>
      </c>
      <c r="AG5" s="58">
        <v>5652</v>
      </c>
      <c r="AH5" s="58">
        <v>5652</v>
      </c>
      <c r="AI5" s="25" t="s">
        <v>40</v>
      </c>
      <c r="AJ5" s="25" t="s">
        <v>40</v>
      </c>
      <c r="AK5" s="25" t="s">
        <v>40</v>
      </c>
      <c r="AL5" s="25" t="s">
        <v>40</v>
      </c>
      <c r="AM5" s="78">
        <f t="shared" si="1"/>
        <v>16956</v>
      </c>
    </row>
    <row r="6" spans="1:47" x14ac:dyDescent="0.25">
      <c r="A6" s="21"/>
      <c r="B6" s="2" t="s">
        <v>6</v>
      </c>
      <c r="C6" s="2" t="s">
        <v>2</v>
      </c>
      <c r="D6" s="2" t="s">
        <v>76</v>
      </c>
      <c r="E6" s="2" t="s">
        <v>24</v>
      </c>
      <c r="F6" s="2" t="s">
        <v>46</v>
      </c>
      <c r="G6" s="68" t="s">
        <v>150</v>
      </c>
      <c r="H6" s="2" t="s">
        <v>40</v>
      </c>
      <c r="I6" s="2" t="s">
        <v>40</v>
      </c>
      <c r="J6" s="57" t="s">
        <v>40</v>
      </c>
      <c r="K6" s="2" t="s">
        <v>42</v>
      </c>
      <c r="L6" s="6" t="s">
        <v>71</v>
      </c>
      <c r="M6" s="6" t="s">
        <v>50</v>
      </c>
      <c r="N6" s="7">
        <v>0.5</v>
      </c>
      <c r="O6" s="25">
        <v>11279</v>
      </c>
      <c r="P6" s="25">
        <v>8108</v>
      </c>
      <c r="Q6" s="99" t="s">
        <v>40</v>
      </c>
      <c r="R6" s="8">
        <f t="shared" si="2"/>
        <v>0.71885805479209153</v>
      </c>
      <c r="S6" s="116">
        <v>4569000</v>
      </c>
      <c r="T6" s="116">
        <v>52041</v>
      </c>
      <c r="U6" s="58">
        <v>5726</v>
      </c>
      <c r="V6" s="58">
        <v>4000</v>
      </c>
      <c r="W6" s="25" t="s">
        <v>40</v>
      </c>
      <c r="X6" s="25" t="s">
        <v>40</v>
      </c>
      <c r="Y6" s="25" t="s">
        <v>40</v>
      </c>
      <c r="Z6" s="9" t="s">
        <v>40</v>
      </c>
      <c r="AA6" s="9" t="s">
        <v>40</v>
      </c>
      <c r="AB6" s="78">
        <f t="shared" si="0"/>
        <v>9726</v>
      </c>
      <c r="AC6" s="127"/>
      <c r="AD6" s="2" t="s">
        <v>6</v>
      </c>
      <c r="AE6" s="2" t="s">
        <v>2</v>
      </c>
      <c r="AF6" s="58">
        <v>5726</v>
      </c>
      <c r="AG6" s="58">
        <v>4000</v>
      </c>
      <c r="AH6" s="58">
        <f>+AG6/2</f>
        <v>2000</v>
      </c>
      <c r="AI6" s="25" t="s">
        <v>40</v>
      </c>
      <c r="AJ6" s="25" t="s">
        <v>40</v>
      </c>
      <c r="AK6" s="25" t="s">
        <v>40</v>
      </c>
      <c r="AL6" s="25" t="s">
        <v>40</v>
      </c>
      <c r="AM6" s="78">
        <f t="shared" si="1"/>
        <v>11726</v>
      </c>
    </row>
    <row r="7" spans="1:47" x14ac:dyDescent="0.25">
      <c r="A7" s="21"/>
      <c r="B7" s="2" t="s">
        <v>3</v>
      </c>
      <c r="C7" s="2" t="s">
        <v>2</v>
      </c>
      <c r="D7" s="2" t="s">
        <v>77</v>
      </c>
      <c r="E7" s="2" t="s">
        <v>24</v>
      </c>
      <c r="F7" s="2" t="s">
        <v>46</v>
      </c>
      <c r="G7" s="68" t="s">
        <v>150</v>
      </c>
      <c r="H7" s="2" t="s">
        <v>32</v>
      </c>
      <c r="I7" s="2" t="s">
        <v>39</v>
      </c>
      <c r="J7" s="57">
        <v>3.5</v>
      </c>
      <c r="K7" s="2" t="s">
        <v>43</v>
      </c>
      <c r="L7" s="6" t="s">
        <v>71</v>
      </c>
      <c r="M7" s="6" t="s">
        <v>50</v>
      </c>
      <c r="N7" s="7">
        <v>0.5</v>
      </c>
      <c r="O7" s="25">
        <v>4333</v>
      </c>
      <c r="P7" s="25">
        <v>3718</v>
      </c>
      <c r="Q7" s="99" t="s">
        <v>40</v>
      </c>
      <c r="R7" s="8">
        <f t="shared" si="2"/>
        <v>0.85806600507731368</v>
      </c>
      <c r="S7" s="116">
        <v>1955000</v>
      </c>
      <c r="T7" s="116">
        <v>22267</v>
      </c>
      <c r="U7" s="58">
        <v>3718</v>
      </c>
      <c r="V7" s="58">
        <v>3718</v>
      </c>
      <c r="W7" s="104">
        <v>3178</v>
      </c>
      <c r="X7" s="104">
        <v>2000</v>
      </c>
      <c r="Y7" s="25" t="s">
        <v>40</v>
      </c>
      <c r="Z7" s="9" t="s">
        <v>40</v>
      </c>
      <c r="AA7" s="9" t="s">
        <v>40</v>
      </c>
      <c r="AB7" s="78">
        <f t="shared" si="0"/>
        <v>12614</v>
      </c>
      <c r="AC7" s="127"/>
      <c r="AD7" s="2" t="s">
        <v>3</v>
      </c>
      <c r="AE7" s="2" t="s">
        <v>2</v>
      </c>
      <c r="AF7" s="58">
        <v>3718</v>
      </c>
      <c r="AG7" s="58">
        <v>3718</v>
      </c>
      <c r="AH7" s="58">
        <v>3718</v>
      </c>
      <c r="AI7" s="25" t="s">
        <v>40</v>
      </c>
      <c r="AJ7" s="25" t="s">
        <v>40</v>
      </c>
      <c r="AK7" s="25" t="s">
        <v>40</v>
      </c>
      <c r="AL7" s="25" t="s">
        <v>40</v>
      </c>
      <c r="AM7" s="78">
        <f t="shared" si="1"/>
        <v>11154</v>
      </c>
    </row>
    <row r="8" spans="1:47" x14ac:dyDescent="0.25">
      <c r="A8" s="21"/>
      <c r="B8" s="2" t="s">
        <v>4</v>
      </c>
      <c r="C8" s="2" t="s">
        <v>2</v>
      </c>
      <c r="D8" s="2" t="s">
        <v>78</v>
      </c>
      <c r="E8" s="2" t="s">
        <v>24</v>
      </c>
      <c r="F8" s="2" t="s">
        <v>46</v>
      </c>
      <c r="G8" s="68" t="s">
        <v>150</v>
      </c>
      <c r="H8" s="2" t="s">
        <v>32</v>
      </c>
      <c r="I8" s="2" t="s">
        <v>39</v>
      </c>
      <c r="J8" s="57">
        <v>3.5</v>
      </c>
      <c r="K8" s="2" t="s">
        <v>43</v>
      </c>
      <c r="L8" s="6" t="s">
        <v>71</v>
      </c>
      <c r="M8" s="6" t="s">
        <v>50</v>
      </c>
      <c r="N8" s="7">
        <v>0.5</v>
      </c>
      <c r="O8" s="25">
        <v>8704</v>
      </c>
      <c r="P8" s="25">
        <v>6708</v>
      </c>
      <c r="Q8" s="99" t="s">
        <v>40</v>
      </c>
      <c r="R8" s="8">
        <f t="shared" si="2"/>
        <v>0.77068014705882348</v>
      </c>
      <c r="S8" s="116">
        <v>2448000</v>
      </c>
      <c r="T8" s="116">
        <v>27883</v>
      </c>
      <c r="U8" s="58">
        <v>6708</v>
      </c>
      <c r="V8" s="58">
        <v>6708</v>
      </c>
      <c r="W8" s="104">
        <v>6708</v>
      </c>
      <c r="X8" s="104">
        <v>3550</v>
      </c>
      <c r="Y8" s="25" t="s">
        <v>40</v>
      </c>
      <c r="Z8" s="9" t="s">
        <v>40</v>
      </c>
      <c r="AA8" s="9" t="s">
        <v>40</v>
      </c>
      <c r="AB8" s="78">
        <f t="shared" si="0"/>
        <v>23674</v>
      </c>
      <c r="AC8" s="127"/>
      <c r="AD8" s="2" t="s">
        <v>4</v>
      </c>
      <c r="AE8" s="2" t="s">
        <v>2</v>
      </c>
      <c r="AF8" s="58">
        <v>6708</v>
      </c>
      <c r="AG8" s="58">
        <v>6708</v>
      </c>
      <c r="AH8" s="58">
        <v>6708</v>
      </c>
      <c r="AI8" s="25" t="s">
        <v>40</v>
      </c>
      <c r="AJ8" s="25" t="s">
        <v>40</v>
      </c>
      <c r="AK8" s="25" t="s">
        <v>40</v>
      </c>
      <c r="AL8" s="25" t="s">
        <v>40</v>
      </c>
      <c r="AM8" s="78">
        <f t="shared" si="1"/>
        <v>20124</v>
      </c>
    </row>
    <row r="9" spans="1:47" x14ac:dyDescent="0.25">
      <c r="A9" s="21"/>
      <c r="B9" s="2" t="s">
        <v>61</v>
      </c>
      <c r="C9" s="2" t="s">
        <v>2</v>
      </c>
      <c r="D9" s="2" t="s">
        <v>79</v>
      </c>
      <c r="E9" s="2" t="s">
        <v>24</v>
      </c>
      <c r="F9" s="2" t="s">
        <v>46</v>
      </c>
      <c r="G9" s="68" t="s">
        <v>150</v>
      </c>
      <c r="H9" s="2" t="s">
        <v>40</v>
      </c>
      <c r="I9" s="2" t="s">
        <v>40</v>
      </c>
      <c r="J9" s="2" t="s">
        <v>40</v>
      </c>
      <c r="K9" s="2" t="s">
        <v>43</v>
      </c>
      <c r="L9" s="6" t="s">
        <v>71</v>
      </c>
      <c r="M9" s="6" t="s">
        <v>50</v>
      </c>
      <c r="N9" s="7">
        <v>0.5</v>
      </c>
      <c r="O9" s="25">
        <v>2226</v>
      </c>
      <c r="P9" s="25">
        <v>1940</v>
      </c>
      <c r="Q9" s="99" t="s">
        <v>40</v>
      </c>
      <c r="R9" s="8">
        <f t="shared" si="2"/>
        <v>0.87151841868822999</v>
      </c>
      <c r="S9" s="116">
        <v>1379000</v>
      </c>
      <c r="T9" s="116">
        <v>15707</v>
      </c>
      <c r="U9" s="58">
        <v>1400</v>
      </c>
      <c r="V9" s="58">
        <v>1370</v>
      </c>
      <c r="W9" s="25" t="s">
        <v>40</v>
      </c>
      <c r="X9" s="25" t="s">
        <v>40</v>
      </c>
      <c r="Y9" s="25" t="s">
        <v>40</v>
      </c>
      <c r="Z9" s="9" t="s">
        <v>40</v>
      </c>
      <c r="AA9" s="9" t="s">
        <v>40</v>
      </c>
      <c r="AB9" s="78">
        <f t="shared" si="0"/>
        <v>2770</v>
      </c>
      <c r="AC9" s="127"/>
      <c r="AD9" s="2" t="s">
        <v>61</v>
      </c>
      <c r="AE9" s="2" t="s">
        <v>2</v>
      </c>
      <c r="AF9" s="58">
        <v>1400</v>
      </c>
      <c r="AG9" s="58">
        <v>1370</v>
      </c>
      <c r="AH9" s="58">
        <f>+AG9/2</f>
        <v>685</v>
      </c>
      <c r="AI9" s="25" t="s">
        <v>40</v>
      </c>
      <c r="AJ9" s="25" t="s">
        <v>40</v>
      </c>
      <c r="AK9" s="25" t="s">
        <v>40</v>
      </c>
      <c r="AL9" s="25" t="s">
        <v>40</v>
      </c>
      <c r="AM9" s="78">
        <f t="shared" si="1"/>
        <v>3455</v>
      </c>
    </row>
    <row r="10" spans="1:47" x14ac:dyDescent="0.25">
      <c r="A10" s="21"/>
      <c r="B10" s="2" t="s">
        <v>5</v>
      </c>
      <c r="C10" s="2" t="s">
        <v>2</v>
      </c>
      <c r="D10" s="2" t="s">
        <v>80</v>
      </c>
      <c r="E10" s="2" t="s">
        <v>24</v>
      </c>
      <c r="F10" s="2" t="s">
        <v>46</v>
      </c>
      <c r="G10" s="68" t="s">
        <v>150</v>
      </c>
      <c r="H10" s="2" t="s">
        <v>40</v>
      </c>
      <c r="I10" s="2" t="s">
        <v>40</v>
      </c>
      <c r="J10" s="2" t="s">
        <v>40</v>
      </c>
      <c r="K10" s="2" t="s">
        <v>43</v>
      </c>
      <c r="L10" s="6" t="s">
        <v>71</v>
      </c>
      <c r="M10" s="6" t="s">
        <v>50</v>
      </c>
      <c r="N10" s="7">
        <v>0.5</v>
      </c>
      <c r="O10" s="25">
        <v>30264</v>
      </c>
      <c r="P10" s="25">
        <v>17092</v>
      </c>
      <c r="Q10" s="99" t="s">
        <v>40</v>
      </c>
      <c r="R10" s="8">
        <f t="shared" si="2"/>
        <v>0.56476341527887919</v>
      </c>
      <c r="S10" s="116">
        <v>5469000</v>
      </c>
      <c r="T10" s="116">
        <v>62292</v>
      </c>
      <c r="U10" s="58">
        <v>17092</v>
      </c>
      <c r="V10" s="58">
        <v>17092</v>
      </c>
      <c r="W10" s="25" t="s">
        <v>40</v>
      </c>
      <c r="X10" s="25" t="s">
        <v>40</v>
      </c>
      <c r="Y10" s="25" t="s">
        <v>40</v>
      </c>
      <c r="Z10" s="9" t="s">
        <v>40</v>
      </c>
      <c r="AA10" s="9" t="s">
        <v>40</v>
      </c>
      <c r="AB10" s="78">
        <f t="shared" si="0"/>
        <v>34184</v>
      </c>
      <c r="AC10" s="127"/>
      <c r="AD10" s="2" t="s">
        <v>5</v>
      </c>
      <c r="AE10" s="2" t="s">
        <v>2</v>
      </c>
      <c r="AF10" s="58">
        <v>17092</v>
      </c>
      <c r="AG10" s="58">
        <v>17092</v>
      </c>
      <c r="AH10" s="58">
        <v>17092</v>
      </c>
      <c r="AI10" s="25" t="s">
        <v>40</v>
      </c>
      <c r="AJ10" s="25" t="s">
        <v>40</v>
      </c>
      <c r="AK10" s="25" t="s">
        <v>40</v>
      </c>
      <c r="AL10" s="25" t="s">
        <v>40</v>
      </c>
      <c r="AM10" s="78">
        <f t="shared" si="1"/>
        <v>51276</v>
      </c>
    </row>
    <row r="11" spans="1:47" x14ac:dyDescent="0.25">
      <c r="A11" s="21"/>
      <c r="B11" s="58">
        <v>50</v>
      </c>
      <c r="C11" s="2" t="s">
        <v>2</v>
      </c>
      <c r="D11" s="2" t="s">
        <v>81</v>
      </c>
      <c r="E11" s="2" t="s">
        <v>24</v>
      </c>
      <c r="F11" s="2" t="s">
        <v>46</v>
      </c>
      <c r="G11" s="68" t="s">
        <v>150</v>
      </c>
      <c r="H11" s="2" t="s">
        <v>40</v>
      </c>
      <c r="I11" s="2" t="s">
        <v>40</v>
      </c>
      <c r="J11" s="2" t="s">
        <v>40</v>
      </c>
      <c r="K11" s="2" t="s">
        <v>42</v>
      </c>
      <c r="L11" s="6" t="s">
        <v>71</v>
      </c>
      <c r="M11" s="6" t="s">
        <v>50</v>
      </c>
      <c r="N11" s="7">
        <v>0.5</v>
      </c>
      <c r="O11" s="25">
        <v>8419</v>
      </c>
      <c r="P11" s="25">
        <v>11710</v>
      </c>
      <c r="Q11" s="99" t="s">
        <v>40</v>
      </c>
      <c r="R11" s="8">
        <f t="shared" si="2"/>
        <v>1.3909015322484857</v>
      </c>
      <c r="S11" s="116">
        <v>3237000</v>
      </c>
      <c r="T11" s="116">
        <v>36869</v>
      </c>
      <c r="U11" s="58">
        <v>3467</v>
      </c>
      <c r="V11" s="25" t="s">
        <v>40</v>
      </c>
      <c r="W11" s="25" t="s">
        <v>40</v>
      </c>
      <c r="X11" s="25" t="s">
        <v>40</v>
      </c>
      <c r="Y11" s="25" t="s">
        <v>40</v>
      </c>
      <c r="Z11" s="9" t="s">
        <v>40</v>
      </c>
      <c r="AA11" s="9" t="s">
        <v>40</v>
      </c>
      <c r="AB11" s="78">
        <f t="shared" si="0"/>
        <v>3467</v>
      </c>
      <c r="AC11" s="127"/>
      <c r="AD11" s="58">
        <v>50</v>
      </c>
      <c r="AE11" s="2" t="s">
        <v>2</v>
      </c>
      <c r="AF11" s="58">
        <v>3467</v>
      </c>
      <c r="AG11" s="58">
        <v>3467</v>
      </c>
      <c r="AH11" s="58">
        <f>+AG11/2</f>
        <v>1733.5</v>
      </c>
      <c r="AI11" s="25" t="s">
        <v>40</v>
      </c>
      <c r="AJ11" s="25" t="s">
        <v>40</v>
      </c>
      <c r="AK11" s="25" t="s">
        <v>40</v>
      </c>
      <c r="AL11" s="25" t="s">
        <v>40</v>
      </c>
      <c r="AM11" s="78">
        <f t="shared" si="1"/>
        <v>8667.5</v>
      </c>
    </row>
    <row r="12" spans="1:47" x14ac:dyDescent="0.25">
      <c r="A12" s="21"/>
      <c r="B12" s="2" t="s">
        <v>7</v>
      </c>
      <c r="C12" s="2" t="s">
        <v>2</v>
      </c>
      <c r="D12" s="2" t="s">
        <v>82</v>
      </c>
      <c r="E12" s="2" t="s">
        <v>24</v>
      </c>
      <c r="F12" s="2" t="s">
        <v>46</v>
      </c>
      <c r="G12" s="68" t="s">
        <v>150</v>
      </c>
      <c r="H12" s="2" t="s">
        <v>40</v>
      </c>
      <c r="I12" s="2" t="s">
        <v>40</v>
      </c>
      <c r="J12" s="2" t="s">
        <v>40</v>
      </c>
      <c r="K12" s="2" t="s">
        <v>42</v>
      </c>
      <c r="L12" s="6" t="s">
        <v>71</v>
      </c>
      <c r="M12" s="6" t="s">
        <v>50</v>
      </c>
      <c r="N12" s="7">
        <v>0.5</v>
      </c>
      <c r="O12" s="25">
        <v>8000</v>
      </c>
      <c r="P12" s="25">
        <v>6621</v>
      </c>
      <c r="Q12" s="99" t="s">
        <v>40</v>
      </c>
      <c r="R12" s="8">
        <f t="shared" si="2"/>
        <v>0.82762500000000006</v>
      </c>
      <c r="S12" s="116">
        <v>2645000</v>
      </c>
      <c r="T12" s="116">
        <v>30127</v>
      </c>
      <c r="U12" s="58">
        <v>3762</v>
      </c>
      <c r="V12" s="58">
        <v>3762</v>
      </c>
      <c r="W12" s="58">
        <v>3762</v>
      </c>
      <c r="X12" s="25" t="s">
        <v>40</v>
      </c>
      <c r="Y12" s="25" t="s">
        <v>40</v>
      </c>
      <c r="Z12" s="9" t="s">
        <v>40</v>
      </c>
      <c r="AA12" s="9" t="s">
        <v>40</v>
      </c>
      <c r="AB12" s="78">
        <f t="shared" si="0"/>
        <v>11286</v>
      </c>
      <c r="AC12" s="127"/>
      <c r="AD12" s="2" t="s">
        <v>7</v>
      </c>
      <c r="AE12" s="2" t="s">
        <v>2</v>
      </c>
      <c r="AF12" s="58">
        <v>3762</v>
      </c>
      <c r="AG12" s="58">
        <v>3762</v>
      </c>
      <c r="AH12" s="58">
        <f>+AG12/2</f>
        <v>1881</v>
      </c>
      <c r="AI12" s="25" t="s">
        <v>40</v>
      </c>
      <c r="AJ12" s="25" t="s">
        <v>40</v>
      </c>
      <c r="AK12" s="25" t="s">
        <v>40</v>
      </c>
      <c r="AL12" s="25" t="s">
        <v>40</v>
      </c>
      <c r="AM12" s="78">
        <f t="shared" si="1"/>
        <v>9405</v>
      </c>
    </row>
    <row r="13" spans="1:47" x14ac:dyDescent="0.25">
      <c r="A13" s="21"/>
      <c r="B13" s="58">
        <v>66</v>
      </c>
      <c r="C13" s="2" t="s">
        <v>2</v>
      </c>
      <c r="D13" s="2" t="s">
        <v>83</v>
      </c>
      <c r="E13" s="2" t="s">
        <v>24</v>
      </c>
      <c r="F13" s="2" t="s">
        <v>46</v>
      </c>
      <c r="G13" s="68" t="s">
        <v>150</v>
      </c>
      <c r="H13" s="2" t="s">
        <v>40</v>
      </c>
      <c r="I13" s="2" t="s">
        <v>40</v>
      </c>
      <c r="J13" s="2" t="s">
        <v>40</v>
      </c>
      <c r="K13" s="2" t="s">
        <v>42</v>
      </c>
      <c r="L13" s="6" t="s">
        <v>71</v>
      </c>
      <c r="M13" s="6" t="s">
        <v>50</v>
      </c>
      <c r="N13" s="7">
        <v>0.5</v>
      </c>
      <c r="O13" s="99" t="s">
        <v>40</v>
      </c>
      <c r="P13" s="25">
        <v>7843</v>
      </c>
      <c r="Q13" s="99" t="s">
        <v>40</v>
      </c>
      <c r="R13" s="8" t="s">
        <v>69</v>
      </c>
      <c r="S13" s="116">
        <v>4103000</v>
      </c>
      <c r="T13" s="116">
        <v>46733</v>
      </c>
      <c r="U13" s="58">
        <v>2755</v>
      </c>
      <c r="V13" s="58">
        <v>2755</v>
      </c>
      <c r="W13" s="58">
        <v>2755</v>
      </c>
      <c r="X13" s="25" t="s">
        <v>40</v>
      </c>
      <c r="Y13" s="25" t="s">
        <v>40</v>
      </c>
      <c r="Z13" s="9" t="s">
        <v>40</v>
      </c>
      <c r="AA13" s="9" t="s">
        <v>40</v>
      </c>
      <c r="AB13" s="78">
        <f t="shared" si="0"/>
        <v>8265</v>
      </c>
      <c r="AC13" s="127"/>
      <c r="AD13" s="58">
        <v>66</v>
      </c>
      <c r="AE13" s="2" t="s">
        <v>2</v>
      </c>
      <c r="AF13" s="58">
        <v>2755</v>
      </c>
      <c r="AG13" s="58">
        <v>2755</v>
      </c>
      <c r="AH13" s="58">
        <f>+AG13/2</f>
        <v>1377.5</v>
      </c>
      <c r="AI13" s="25" t="s">
        <v>40</v>
      </c>
      <c r="AJ13" s="25" t="s">
        <v>40</v>
      </c>
      <c r="AK13" s="25" t="s">
        <v>40</v>
      </c>
      <c r="AL13" s="25" t="s">
        <v>40</v>
      </c>
      <c r="AM13" s="78">
        <f t="shared" si="1"/>
        <v>6887.5</v>
      </c>
    </row>
    <row r="14" spans="1:47" x14ac:dyDescent="0.25">
      <c r="A14" s="21"/>
      <c r="B14" s="58">
        <v>68</v>
      </c>
      <c r="C14" s="2" t="s">
        <v>2</v>
      </c>
      <c r="D14" s="2" t="s">
        <v>84</v>
      </c>
      <c r="E14" s="2" t="s">
        <v>24</v>
      </c>
      <c r="F14" s="2" t="s">
        <v>46</v>
      </c>
      <c r="G14" s="68" t="s">
        <v>150</v>
      </c>
      <c r="H14" s="2" t="s">
        <v>40</v>
      </c>
      <c r="I14" s="2" t="s">
        <v>40</v>
      </c>
      <c r="J14" s="2" t="s">
        <v>40</v>
      </c>
      <c r="K14" s="2" t="s">
        <v>42</v>
      </c>
      <c r="L14" s="6" t="s">
        <v>71</v>
      </c>
      <c r="M14" s="6" t="s">
        <v>50</v>
      </c>
      <c r="N14" s="7">
        <v>0.5</v>
      </c>
      <c r="O14" s="25">
        <v>7219</v>
      </c>
      <c r="P14" s="25">
        <v>16788</v>
      </c>
      <c r="Q14" s="99" t="s">
        <v>40</v>
      </c>
      <c r="R14" s="8">
        <f t="shared" si="2"/>
        <v>2.3255298517800251</v>
      </c>
      <c r="S14" s="116">
        <v>5334000</v>
      </c>
      <c r="T14" s="116">
        <v>60754</v>
      </c>
      <c r="U14" s="58">
        <v>2755</v>
      </c>
      <c r="V14" s="58">
        <v>2755</v>
      </c>
      <c r="W14" s="58">
        <v>2755</v>
      </c>
      <c r="X14" s="25" t="s">
        <v>40</v>
      </c>
      <c r="Y14" s="25" t="s">
        <v>40</v>
      </c>
      <c r="Z14" s="9" t="s">
        <v>40</v>
      </c>
      <c r="AA14" s="9" t="s">
        <v>40</v>
      </c>
      <c r="AB14" s="78">
        <f t="shared" si="0"/>
        <v>8265</v>
      </c>
      <c r="AC14" s="127"/>
      <c r="AD14" s="58">
        <v>68</v>
      </c>
      <c r="AE14" s="2" t="s">
        <v>2</v>
      </c>
      <c r="AF14" s="58">
        <v>2755</v>
      </c>
      <c r="AG14" s="58">
        <v>2755</v>
      </c>
      <c r="AH14" s="58">
        <f>+AG14/2</f>
        <v>1377.5</v>
      </c>
      <c r="AI14" s="25" t="s">
        <v>40</v>
      </c>
      <c r="AJ14" s="25" t="s">
        <v>40</v>
      </c>
      <c r="AK14" s="25" t="s">
        <v>40</v>
      </c>
      <c r="AL14" s="25" t="s">
        <v>40</v>
      </c>
      <c r="AM14" s="78">
        <f t="shared" si="1"/>
        <v>6887.5</v>
      </c>
    </row>
    <row r="15" spans="1:47" x14ac:dyDescent="0.25">
      <c r="A15" s="21"/>
      <c r="B15" s="58">
        <v>72</v>
      </c>
      <c r="C15" s="2" t="s">
        <v>2</v>
      </c>
      <c r="D15" s="2" t="s">
        <v>85</v>
      </c>
      <c r="E15" s="2" t="s">
        <v>24</v>
      </c>
      <c r="F15" s="2" t="s">
        <v>46</v>
      </c>
      <c r="G15" s="68" t="s">
        <v>150</v>
      </c>
      <c r="H15" s="2" t="s">
        <v>40</v>
      </c>
      <c r="I15" s="2" t="s">
        <v>40</v>
      </c>
      <c r="J15" s="2" t="s">
        <v>40</v>
      </c>
      <c r="K15" s="2" t="s">
        <v>42</v>
      </c>
      <c r="L15" s="6" t="s">
        <v>71</v>
      </c>
      <c r="M15" s="6" t="s">
        <v>50</v>
      </c>
      <c r="N15" s="7">
        <v>0.5</v>
      </c>
      <c r="O15" s="25">
        <v>9804</v>
      </c>
      <c r="P15" s="25">
        <v>2341</v>
      </c>
      <c r="Q15" s="99" t="s">
        <v>40</v>
      </c>
      <c r="R15" s="8">
        <f t="shared" si="2"/>
        <v>0.23878008975928192</v>
      </c>
      <c r="S15" s="116">
        <v>2080000</v>
      </c>
      <c r="T15" s="116">
        <v>23691</v>
      </c>
      <c r="U15" s="58">
        <v>3385</v>
      </c>
      <c r="V15" s="58">
        <v>3385</v>
      </c>
      <c r="W15" s="58">
        <v>3385</v>
      </c>
      <c r="X15" s="25" t="s">
        <v>40</v>
      </c>
      <c r="Y15" s="25" t="s">
        <v>40</v>
      </c>
      <c r="Z15" s="9" t="s">
        <v>40</v>
      </c>
      <c r="AA15" s="9" t="s">
        <v>40</v>
      </c>
      <c r="AB15" s="78">
        <f t="shared" si="0"/>
        <v>10155</v>
      </c>
      <c r="AC15" s="127"/>
      <c r="AD15" s="58">
        <v>72</v>
      </c>
      <c r="AE15" s="2" t="s">
        <v>2</v>
      </c>
      <c r="AF15" s="58">
        <v>3385</v>
      </c>
      <c r="AG15" s="58">
        <v>3385</v>
      </c>
      <c r="AH15" s="58">
        <f>+AG15/2</f>
        <v>1692.5</v>
      </c>
      <c r="AI15" s="25" t="s">
        <v>40</v>
      </c>
      <c r="AJ15" s="25" t="s">
        <v>40</v>
      </c>
      <c r="AK15" s="25" t="s">
        <v>40</v>
      </c>
      <c r="AL15" s="25" t="s">
        <v>40</v>
      </c>
      <c r="AM15" s="78">
        <f t="shared" si="1"/>
        <v>8462.5</v>
      </c>
    </row>
    <row r="16" spans="1:47" x14ac:dyDescent="0.25">
      <c r="A16" s="21"/>
      <c r="B16" s="2" t="s">
        <v>64</v>
      </c>
      <c r="C16" s="2" t="s">
        <v>2</v>
      </c>
      <c r="D16" s="2" t="s">
        <v>80</v>
      </c>
      <c r="E16" s="2" t="s">
        <v>24</v>
      </c>
      <c r="F16" s="2" t="s">
        <v>46</v>
      </c>
      <c r="G16" s="68" t="s">
        <v>150</v>
      </c>
      <c r="H16" s="2" t="s">
        <v>40</v>
      </c>
      <c r="I16" s="2" t="s">
        <v>40</v>
      </c>
      <c r="J16" s="2" t="s">
        <v>40</v>
      </c>
      <c r="K16" s="2" t="s">
        <v>43</v>
      </c>
      <c r="L16" s="6" t="s">
        <v>71</v>
      </c>
      <c r="M16" s="6" t="s">
        <v>50</v>
      </c>
      <c r="N16" s="7">
        <v>0.5</v>
      </c>
      <c r="O16" s="25">
        <v>58784</v>
      </c>
      <c r="P16" s="25">
        <v>59510</v>
      </c>
      <c r="Q16" s="99" t="s">
        <v>40</v>
      </c>
      <c r="R16" s="8">
        <f t="shared" si="2"/>
        <v>1.0123502994011977</v>
      </c>
      <c r="S16" s="116">
        <v>15538000</v>
      </c>
      <c r="T16" s="116">
        <v>176978</v>
      </c>
      <c r="U16" s="58">
        <v>59510</v>
      </c>
      <c r="V16" s="58">
        <v>59510</v>
      </c>
      <c r="W16" s="25" t="s">
        <v>40</v>
      </c>
      <c r="X16" s="25" t="s">
        <v>40</v>
      </c>
      <c r="Y16" s="25" t="s">
        <v>40</v>
      </c>
      <c r="Z16" s="9" t="s">
        <v>40</v>
      </c>
      <c r="AA16" s="9" t="s">
        <v>40</v>
      </c>
      <c r="AB16" s="78">
        <f t="shared" si="0"/>
        <v>119020</v>
      </c>
      <c r="AC16" s="127"/>
      <c r="AD16" s="2" t="s">
        <v>64</v>
      </c>
      <c r="AE16" s="2" t="s">
        <v>2</v>
      </c>
      <c r="AF16" s="58">
        <v>59510</v>
      </c>
      <c r="AG16" s="58">
        <v>59510</v>
      </c>
      <c r="AH16" s="58">
        <v>59510</v>
      </c>
      <c r="AI16" s="25" t="s">
        <v>40</v>
      </c>
      <c r="AJ16" s="25" t="s">
        <v>40</v>
      </c>
      <c r="AK16" s="25" t="s">
        <v>40</v>
      </c>
      <c r="AL16" s="25" t="s">
        <v>40</v>
      </c>
      <c r="AM16" s="78">
        <f t="shared" si="1"/>
        <v>178530</v>
      </c>
      <c r="AO16" s="20" t="s">
        <v>132</v>
      </c>
    </row>
    <row r="17" spans="1:41" x14ac:dyDescent="0.25">
      <c r="A17" s="21"/>
      <c r="B17" s="58">
        <v>80</v>
      </c>
      <c r="C17" s="2" t="s">
        <v>2</v>
      </c>
      <c r="D17" s="2" t="s">
        <v>80</v>
      </c>
      <c r="E17" s="2" t="s">
        <v>24</v>
      </c>
      <c r="F17" s="2" t="s">
        <v>46</v>
      </c>
      <c r="G17" s="68" t="s">
        <v>150</v>
      </c>
      <c r="H17" s="2" t="s">
        <v>40</v>
      </c>
      <c r="I17" s="2" t="s">
        <v>40</v>
      </c>
      <c r="J17" s="2" t="s">
        <v>40</v>
      </c>
      <c r="K17" s="2" t="s">
        <v>42</v>
      </c>
      <c r="L17" s="6" t="s">
        <v>71</v>
      </c>
      <c r="M17" s="6" t="s">
        <v>50</v>
      </c>
      <c r="N17" s="7">
        <v>0.5</v>
      </c>
      <c r="O17" s="25">
        <v>5858</v>
      </c>
      <c r="P17" s="25">
        <v>794</v>
      </c>
      <c r="Q17" s="99" t="s">
        <v>40</v>
      </c>
      <c r="R17" s="8">
        <f t="shared" si="2"/>
        <v>0.13554114032092865</v>
      </c>
      <c r="S17" s="116">
        <v>1290000</v>
      </c>
      <c r="T17" s="116">
        <v>14693</v>
      </c>
      <c r="U17" s="25">
        <v>3175</v>
      </c>
      <c r="V17" s="25">
        <v>3175</v>
      </c>
      <c r="W17" s="25" t="s">
        <v>40</v>
      </c>
      <c r="X17" s="25" t="s">
        <v>40</v>
      </c>
      <c r="Y17" s="25" t="s">
        <v>40</v>
      </c>
      <c r="Z17" s="9" t="s">
        <v>40</v>
      </c>
      <c r="AA17" s="9" t="s">
        <v>40</v>
      </c>
      <c r="AB17" s="78">
        <f>SUM(U17:AA17)</f>
        <v>6350</v>
      </c>
      <c r="AC17" s="127"/>
      <c r="AD17" s="58">
        <v>80</v>
      </c>
      <c r="AE17" s="2" t="s">
        <v>2</v>
      </c>
      <c r="AF17" s="25">
        <v>3175</v>
      </c>
      <c r="AG17" s="25">
        <v>3175</v>
      </c>
      <c r="AH17" s="25">
        <f>+AG17/2</f>
        <v>1587.5</v>
      </c>
      <c r="AI17" s="25" t="s">
        <v>40</v>
      </c>
      <c r="AJ17" s="25" t="s">
        <v>40</v>
      </c>
      <c r="AK17" s="25" t="s">
        <v>40</v>
      </c>
      <c r="AL17" s="25" t="s">
        <v>40</v>
      </c>
      <c r="AM17" s="78">
        <f>SUM(AF17:AL17)</f>
        <v>7937.5</v>
      </c>
    </row>
    <row r="18" spans="1:41" x14ac:dyDescent="0.25">
      <c r="A18" s="21"/>
      <c r="B18" s="58">
        <v>99</v>
      </c>
      <c r="C18" s="2" t="s">
        <v>2</v>
      </c>
      <c r="D18" s="2" t="s">
        <v>86</v>
      </c>
      <c r="E18" s="2" t="s">
        <v>24</v>
      </c>
      <c r="F18" s="2" t="s">
        <v>46</v>
      </c>
      <c r="G18" s="68" t="s">
        <v>150</v>
      </c>
      <c r="H18" s="2" t="s">
        <v>40</v>
      </c>
      <c r="I18" s="2" t="s">
        <v>40</v>
      </c>
      <c r="J18" s="2" t="s">
        <v>40</v>
      </c>
      <c r="K18" s="19" t="s">
        <v>126</v>
      </c>
      <c r="L18" s="10" t="s">
        <v>47</v>
      </c>
      <c r="M18" s="10" t="s">
        <v>52</v>
      </c>
      <c r="N18" s="11">
        <v>0.156</v>
      </c>
      <c r="O18" s="25">
        <v>21099</v>
      </c>
      <c r="P18" s="25">
        <v>8300</v>
      </c>
      <c r="Q18" s="99" t="s">
        <v>40</v>
      </c>
      <c r="R18" s="8">
        <f t="shared" si="2"/>
        <v>0.39338357268116975</v>
      </c>
      <c r="S18" s="116">
        <v>4004000</v>
      </c>
      <c r="T18" s="116" t="s">
        <v>40</v>
      </c>
      <c r="U18" s="25" t="s">
        <v>40</v>
      </c>
      <c r="V18" s="25" t="s">
        <v>40</v>
      </c>
      <c r="W18" s="25" t="s">
        <v>40</v>
      </c>
      <c r="X18" s="25" t="s">
        <v>40</v>
      </c>
      <c r="Y18" s="25" t="s">
        <v>40</v>
      </c>
      <c r="Z18" s="9" t="s">
        <v>40</v>
      </c>
      <c r="AA18" s="9" t="s">
        <v>40</v>
      </c>
      <c r="AB18" s="78">
        <f>SUM(U18:AA18)</f>
        <v>0</v>
      </c>
      <c r="AC18" s="127"/>
      <c r="AD18" s="58">
        <v>99</v>
      </c>
      <c r="AE18" s="2" t="s">
        <v>2</v>
      </c>
      <c r="AF18" s="58" t="str">
        <f xml:space="preserve"> V18</f>
        <v>--</v>
      </c>
      <c r="AG18" s="58" t="str">
        <f xml:space="preserve"> AF18</f>
        <v>--</v>
      </c>
      <c r="AH18" s="25" t="s">
        <v>40</v>
      </c>
      <c r="AI18" s="25" t="s">
        <v>40</v>
      </c>
      <c r="AJ18" s="25" t="s">
        <v>40</v>
      </c>
      <c r="AK18" s="25" t="s">
        <v>40</v>
      </c>
      <c r="AL18" s="25" t="s">
        <v>40</v>
      </c>
      <c r="AM18" s="78">
        <f t="shared" ref="AM18:AM50" si="3">SUM(AF18:AL18)</f>
        <v>0</v>
      </c>
      <c r="AO18" s="20" t="s">
        <v>127</v>
      </c>
    </row>
    <row r="19" spans="1:41" ht="15.75" thickBot="1" x14ac:dyDescent="0.3">
      <c r="A19" s="21"/>
      <c r="B19" s="63">
        <v>115</v>
      </c>
      <c r="C19" s="27" t="s">
        <v>2</v>
      </c>
      <c r="D19" s="27" t="s">
        <v>87</v>
      </c>
      <c r="E19" s="27" t="s">
        <v>24</v>
      </c>
      <c r="F19" s="27" t="s">
        <v>46</v>
      </c>
      <c r="G19" s="68" t="s">
        <v>150</v>
      </c>
      <c r="H19" s="27" t="s">
        <v>35</v>
      </c>
      <c r="I19" s="27" t="s">
        <v>38</v>
      </c>
      <c r="J19" s="61">
        <v>2.5</v>
      </c>
      <c r="K19" s="27" t="s">
        <v>41</v>
      </c>
      <c r="L19" s="28" t="s">
        <v>47</v>
      </c>
      <c r="M19" s="28" t="s">
        <v>52</v>
      </c>
      <c r="N19" s="29">
        <v>0.156</v>
      </c>
      <c r="O19" s="32">
        <v>27676</v>
      </c>
      <c r="P19" s="32">
        <v>8190</v>
      </c>
      <c r="Q19" s="100" t="s">
        <v>40</v>
      </c>
      <c r="R19" s="31">
        <f t="shared" si="2"/>
        <v>0.29592426651250181</v>
      </c>
      <c r="S19" s="117">
        <v>2031000</v>
      </c>
      <c r="T19" s="117">
        <v>23133</v>
      </c>
      <c r="U19" s="32">
        <v>8190</v>
      </c>
      <c r="V19" s="32">
        <v>8190</v>
      </c>
      <c r="W19" s="105">
        <v>5050</v>
      </c>
      <c r="X19" s="32" t="s">
        <v>40</v>
      </c>
      <c r="Y19" s="32" t="s">
        <v>40</v>
      </c>
      <c r="Z19" s="30" t="s">
        <v>40</v>
      </c>
      <c r="AA19" s="30" t="s">
        <v>40</v>
      </c>
      <c r="AB19" s="80">
        <f>SUM(U19:AA19)</f>
        <v>21430</v>
      </c>
      <c r="AC19" s="127"/>
      <c r="AD19" s="63">
        <v>115</v>
      </c>
      <c r="AE19" s="27" t="s">
        <v>2</v>
      </c>
      <c r="AF19" s="32">
        <v>8190</v>
      </c>
      <c r="AG19" s="32">
        <v>8190</v>
      </c>
      <c r="AH19" s="32">
        <f xml:space="preserve"> AG19 / 2</f>
        <v>4095</v>
      </c>
      <c r="AI19" s="32" t="s">
        <v>40</v>
      </c>
      <c r="AJ19" s="32" t="s">
        <v>40</v>
      </c>
      <c r="AK19" s="32" t="s">
        <v>40</v>
      </c>
      <c r="AL19" s="32" t="s">
        <v>40</v>
      </c>
      <c r="AM19" s="80">
        <f t="shared" si="3"/>
        <v>20475</v>
      </c>
    </row>
    <row r="20" spans="1:41" x14ac:dyDescent="0.25">
      <c r="A20" s="21"/>
      <c r="B20" s="64">
        <v>365</v>
      </c>
      <c r="C20" s="40" t="s">
        <v>8</v>
      </c>
      <c r="D20" s="40" t="s">
        <v>88</v>
      </c>
      <c r="E20" s="40" t="s">
        <v>27</v>
      </c>
      <c r="F20" s="40" t="s">
        <v>30</v>
      </c>
      <c r="G20" s="75">
        <v>2.5</v>
      </c>
      <c r="H20" s="40" t="s">
        <v>40</v>
      </c>
      <c r="I20" s="40" t="s">
        <v>40</v>
      </c>
      <c r="J20" s="40" t="s">
        <v>40</v>
      </c>
      <c r="K20" s="40" t="s">
        <v>44</v>
      </c>
      <c r="L20" s="36" t="s">
        <v>72</v>
      </c>
      <c r="M20" s="36" t="s">
        <v>53</v>
      </c>
      <c r="N20" s="36">
        <v>1.3029999999999999</v>
      </c>
      <c r="O20" s="49">
        <v>14951</v>
      </c>
      <c r="P20" s="49">
        <v>1232</v>
      </c>
      <c r="Q20" s="101" t="s">
        <v>40</v>
      </c>
      <c r="R20" s="44">
        <f t="shared" si="2"/>
        <v>8.2402514881947692E-2</v>
      </c>
      <c r="S20" s="118">
        <v>1118000</v>
      </c>
      <c r="T20" s="118">
        <v>12734</v>
      </c>
      <c r="U20" s="81">
        <v>16000</v>
      </c>
      <c r="V20" s="81">
        <v>16000</v>
      </c>
      <c r="W20" s="81">
        <v>16000</v>
      </c>
      <c r="X20" s="49" t="s">
        <v>40</v>
      </c>
      <c r="Y20" s="49" t="s">
        <v>40</v>
      </c>
      <c r="Z20" s="43" t="s">
        <v>40</v>
      </c>
      <c r="AA20" s="43" t="s">
        <v>40</v>
      </c>
      <c r="AB20" s="83">
        <f t="shared" ref="AB20:AB23" si="4">SUM(U20:AA20)</f>
        <v>48000</v>
      </c>
      <c r="AC20" s="128"/>
      <c r="AD20" s="64">
        <v>365</v>
      </c>
      <c r="AE20" s="40" t="s">
        <v>8</v>
      </c>
      <c r="AF20" s="81">
        <v>16000</v>
      </c>
      <c r="AG20" s="81">
        <v>16000</v>
      </c>
      <c r="AH20" s="81">
        <v>16000</v>
      </c>
      <c r="AI20" s="81">
        <v>16000</v>
      </c>
      <c r="AJ20" s="81">
        <v>16000</v>
      </c>
      <c r="AK20" s="49" t="s">
        <v>40</v>
      </c>
      <c r="AL20" s="49" t="s">
        <v>40</v>
      </c>
      <c r="AM20" s="83">
        <f t="shared" si="3"/>
        <v>80000</v>
      </c>
    </row>
    <row r="21" spans="1:41" x14ac:dyDescent="0.25">
      <c r="A21" s="21"/>
      <c r="B21" s="65">
        <v>375</v>
      </c>
      <c r="C21" s="41" t="s">
        <v>8</v>
      </c>
      <c r="D21" s="41" t="s">
        <v>89</v>
      </c>
      <c r="E21" s="41" t="s">
        <v>24</v>
      </c>
      <c r="F21" s="41" t="s">
        <v>46</v>
      </c>
      <c r="G21" s="73" t="s">
        <v>150</v>
      </c>
      <c r="H21" s="41" t="s">
        <v>40</v>
      </c>
      <c r="I21" s="41" t="s">
        <v>40</v>
      </c>
      <c r="J21" s="41" t="s">
        <v>40</v>
      </c>
      <c r="K21" s="41" t="s">
        <v>44</v>
      </c>
      <c r="L21" s="12" t="s">
        <v>72</v>
      </c>
      <c r="M21" s="12" t="s">
        <v>54</v>
      </c>
      <c r="N21" s="12">
        <v>1.375</v>
      </c>
      <c r="O21" s="50">
        <v>39037</v>
      </c>
      <c r="P21" s="50">
        <v>17000</v>
      </c>
      <c r="Q21" s="102" t="s">
        <v>40</v>
      </c>
      <c r="R21" s="46">
        <f t="shared" si="2"/>
        <v>0.43548428414068702</v>
      </c>
      <c r="S21" s="119">
        <v>4925000</v>
      </c>
      <c r="T21" s="119">
        <v>56096</v>
      </c>
      <c r="U21" s="84">
        <f xml:space="preserve"> P21 / 2</f>
        <v>8500</v>
      </c>
      <c r="V21" s="84">
        <v>8500</v>
      </c>
      <c r="W21" s="50" t="s">
        <v>40</v>
      </c>
      <c r="X21" s="50" t="s">
        <v>40</v>
      </c>
      <c r="Y21" s="50" t="s">
        <v>40</v>
      </c>
      <c r="Z21" s="45" t="s">
        <v>40</v>
      </c>
      <c r="AA21" s="45" t="s">
        <v>40</v>
      </c>
      <c r="AB21" s="85">
        <f t="shared" si="4"/>
        <v>17000</v>
      </c>
      <c r="AC21" s="128"/>
      <c r="AD21" s="65">
        <v>375</v>
      </c>
      <c r="AE21" s="41" t="s">
        <v>8</v>
      </c>
      <c r="AF21" s="84">
        <v>16000</v>
      </c>
      <c r="AG21" s="84">
        <v>16000</v>
      </c>
      <c r="AH21" s="84">
        <v>16000</v>
      </c>
      <c r="AI21" s="84">
        <v>16000</v>
      </c>
      <c r="AJ21" s="84">
        <v>16000</v>
      </c>
      <c r="AK21" s="50" t="s">
        <v>40</v>
      </c>
      <c r="AL21" s="50" t="s">
        <v>40</v>
      </c>
      <c r="AM21" s="85">
        <f t="shared" si="3"/>
        <v>80000</v>
      </c>
    </row>
    <row r="22" spans="1:41" ht="15.75" thickBot="1" x14ac:dyDescent="0.3">
      <c r="A22" s="21"/>
      <c r="B22" s="66">
        <v>385</v>
      </c>
      <c r="C22" s="42" t="s">
        <v>8</v>
      </c>
      <c r="D22" s="42" t="s">
        <v>90</v>
      </c>
      <c r="E22" s="42" t="s">
        <v>24</v>
      </c>
      <c r="F22" s="42" t="s">
        <v>46</v>
      </c>
      <c r="G22" s="74" t="s">
        <v>150</v>
      </c>
      <c r="H22" s="42" t="s">
        <v>40</v>
      </c>
      <c r="I22" s="42" t="s">
        <v>40</v>
      </c>
      <c r="J22" s="42" t="s">
        <v>40</v>
      </c>
      <c r="K22" s="42" t="s">
        <v>44</v>
      </c>
      <c r="L22" s="37" t="s">
        <v>72</v>
      </c>
      <c r="M22" s="37" t="s">
        <v>54</v>
      </c>
      <c r="N22" s="37">
        <v>1.375</v>
      </c>
      <c r="O22" s="51">
        <v>33176</v>
      </c>
      <c r="P22" s="51">
        <v>21724</v>
      </c>
      <c r="Q22" s="103" t="s">
        <v>40</v>
      </c>
      <c r="R22" s="48">
        <f t="shared" si="2"/>
        <v>0.65481070653484441</v>
      </c>
      <c r="S22" s="120">
        <v>6873000</v>
      </c>
      <c r="T22" s="120">
        <v>78283</v>
      </c>
      <c r="U22" s="86">
        <v>7949</v>
      </c>
      <c r="V22" s="86">
        <v>7949</v>
      </c>
      <c r="W22" s="51" t="s">
        <v>40</v>
      </c>
      <c r="X22" s="51" t="s">
        <v>40</v>
      </c>
      <c r="Y22" s="51" t="s">
        <v>40</v>
      </c>
      <c r="Z22" s="47" t="s">
        <v>40</v>
      </c>
      <c r="AA22" s="47" t="s">
        <v>40</v>
      </c>
      <c r="AB22" s="88">
        <f t="shared" si="4"/>
        <v>15898</v>
      </c>
      <c r="AC22" s="128"/>
      <c r="AD22" s="66">
        <v>385</v>
      </c>
      <c r="AE22" s="42" t="s">
        <v>8</v>
      </c>
      <c r="AF22" s="86">
        <v>12000</v>
      </c>
      <c r="AG22" s="86">
        <v>12000</v>
      </c>
      <c r="AH22" s="86">
        <v>12000</v>
      </c>
      <c r="AI22" s="86">
        <v>12000</v>
      </c>
      <c r="AJ22" s="86">
        <v>12000</v>
      </c>
      <c r="AK22" s="51" t="s">
        <v>40</v>
      </c>
      <c r="AL22" s="51" t="s">
        <v>40</v>
      </c>
      <c r="AM22" s="88">
        <f t="shared" si="3"/>
        <v>60000</v>
      </c>
    </row>
    <row r="23" spans="1:41" x14ac:dyDescent="0.25">
      <c r="A23" s="21"/>
      <c r="B23" s="34">
        <v>395</v>
      </c>
      <c r="C23" s="1" t="s">
        <v>8</v>
      </c>
      <c r="D23" s="1" t="s">
        <v>91</v>
      </c>
      <c r="E23" s="1" t="s">
        <v>24</v>
      </c>
      <c r="F23" s="1" t="s">
        <v>46</v>
      </c>
      <c r="G23" s="68" t="s">
        <v>150</v>
      </c>
      <c r="H23" s="1" t="s">
        <v>40</v>
      </c>
      <c r="I23" s="1" t="s">
        <v>40</v>
      </c>
      <c r="J23" s="1" t="s">
        <v>40</v>
      </c>
      <c r="K23" s="1" t="s">
        <v>45</v>
      </c>
      <c r="L23" s="33" t="s">
        <v>48</v>
      </c>
      <c r="M23" s="33" t="s">
        <v>51</v>
      </c>
      <c r="N23" s="33">
        <v>0.97</v>
      </c>
      <c r="O23" s="35">
        <v>13833</v>
      </c>
      <c r="P23" s="35">
        <v>15486</v>
      </c>
      <c r="Q23" s="98" t="s">
        <v>40</v>
      </c>
      <c r="R23" s="5">
        <f t="shared" si="2"/>
        <v>1.1194968553459119</v>
      </c>
      <c r="S23" s="115">
        <v>1662000</v>
      </c>
      <c r="T23" s="115">
        <v>18930</v>
      </c>
      <c r="U23" s="34">
        <f xml:space="preserve"> P23 / 3</f>
        <v>5162</v>
      </c>
      <c r="V23" s="34">
        <v>5162</v>
      </c>
      <c r="W23" s="34">
        <v>5162</v>
      </c>
      <c r="X23" s="35" t="s">
        <v>40</v>
      </c>
      <c r="Y23" s="35" t="s">
        <v>40</v>
      </c>
      <c r="Z23" s="16" t="s">
        <v>40</v>
      </c>
      <c r="AA23" s="16" t="s">
        <v>40</v>
      </c>
      <c r="AB23" s="89">
        <f t="shared" si="4"/>
        <v>15486</v>
      </c>
      <c r="AC23" s="26"/>
      <c r="AD23" s="34">
        <v>395</v>
      </c>
      <c r="AE23" s="1" t="s">
        <v>8</v>
      </c>
      <c r="AF23" s="34">
        <v>8200</v>
      </c>
      <c r="AG23" s="34">
        <v>8200</v>
      </c>
      <c r="AH23" s="34">
        <v>8200</v>
      </c>
      <c r="AI23" s="34">
        <v>8200</v>
      </c>
      <c r="AJ23" s="25" t="s">
        <v>40</v>
      </c>
      <c r="AK23" s="25" t="s">
        <v>40</v>
      </c>
      <c r="AL23" s="34"/>
      <c r="AM23" s="89">
        <f t="shared" si="3"/>
        <v>32800</v>
      </c>
    </row>
    <row r="24" spans="1:41" x14ac:dyDescent="0.25">
      <c r="A24" s="21"/>
      <c r="B24" s="58">
        <v>392</v>
      </c>
      <c r="C24" s="2" t="s">
        <v>8</v>
      </c>
      <c r="D24" s="2" t="s">
        <v>92</v>
      </c>
      <c r="E24" s="2" t="s">
        <v>26</v>
      </c>
      <c r="F24" s="2" t="s">
        <v>29</v>
      </c>
      <c r="G24" s="57">
        <v>2.5</v>
      </c>
      <c r="H24" s="2" t="s">
        <v>40</v>
      </c>
      <c r="I24" s="2" t="s">
        <v>40</v>
      </c>
      <c r="J24" s="2" t="s">
        <v>40</v>
      </c>
      <c r="K24" s="2" t="s">
        <v>45</v>
      </c>
      <c r="L24" s="13" t="s">
        <v>48</v>
      </c>
      <c r="M24" s="13" t="s">
        <v>134</v>
      </c>
      <c r="N24" s="13">
        <v>1.97</v>
      </c>
      <c r="O24" s="25">
        <v>13163</v>
      </c>
      <c r="P24" s="25">
        <v>0</v>
      </c>
      <c r="Q24" s="25">
        <v>3434</v>
      </c>
      <c r="R24" s="8">
        <f>+Q24/O24</f>
        <v>0.26088277748233685</v>
      </c>
      <c r="S24" s="116">
        <v>1710000</v>
      </c>
      <c r="T24" s="116">
        <v>19477</v>
      </c>
      <c r="U24" s="58">
        <v>7200</v>
      </c>
      <c r="V24" s="58">
        <v>7200</v>
      </c>
      <c r="W24" s="25" t="s">
        <v>40</v>
      </c>
      <c r="X24" s="25" t="s">
        <v>40</v>
      </c>
      <c r="Y24" s="25" t="s">
        <v>40</v>
      </c>
      <c r="Z24" s="9" t="s">
        <v>40</v>
      </c>
      <c r="AA24" s="9" t="s">
        <v>40</v>
      </c>
      <c r="AB24" s="78">
        <f t="shared" ref="AB24:AB50" si="5">SUM(U24:AA24)</f>
        <v>14400</v>
      </c>
      <c r="AC24" s="26"/>
      <c r="AD24" s="58">
        <v>392</v>
      </c>
      <c r="AE24" s="2" t="s">
        <v>8</v>
      </c>
      <c r="AF24" s="58">
        <v>7200</v>
      </c>
      <c r="AG24" s="58">
        <v>7200</v>
      </c>
      <c r="AH24" s="58">
        <v>7200</v>
      </c>
      <c r="AI24" s="58">
        <v>7200</v>
      </c>
      <c r="AJ24" s="25" t="s">
        <v>40</v>
      </c>
      <c r="AK24" s="25" t="s">
        <v>40</v>
      </c>
      <c r="AL24" s="25" t="s">
        <v>40</v>
      </c>
      <c r="AM24" s="78">
        <f t="shared" si="3"/>
        <v>28800</v>
      </c>
    </row>
    <row r="25" spans="1:41" x14ac:dyDescent="0.25">
      <c r="A25" s="21"/>
      <c r="B25" s="58">
        <v>396</v>
      </c>
      <c r="C25" s="2" t="s">
        <v>8</v>
      </c>
      <c r="D25" s="2" t="s">
        <v>93</v>
      </c>
      <c r="E25" s="2" t="s">
        <v>26</v>
      </c>
      <c r="F25" s="2" t="s">
        <v>29</v>
      </c>
      <c r="G25" s="57">
        <v>2.5</v>
      </c>
      <c r="H25" s="2" t="s">
        <v>40</v>
      </c>
      <c r="I25" s="2" t="s">
        <v>40</v>
      </c>
      <c r="J25" s="2" t="s">
        <v>40</v>
      </c>
      <c r="K25" s="2" t="s">
        <v>45</v>
      </c>
      <c r="L25" s="13" t="s">
        <v>48</v>
      </c>
      <c r="M25" s="13" t="s">
        <v>135</v>
      </c>
      <c r="N25" s="13">
        <v>2.97</v>
      </c>
      <c r="O25" s="25">
        <v>7000</v>
      </c>
      <c r="P25" s="25">
        <v>0</v>
      </c>
      <c r="Q25" s="25">
        <v>2590</v>
      </c>
      <c r="R25" s="8">
        <f t="shared" si="2"/>
        <v>0</v>
      </c>
      <c r="S25" s="116">
        <v>1474000</v>
      </c>
      <c r="T25" s="116">
        <v>16789</v>
      </c>
      <c r="U25" s="58">
        <v>7200</v>
      </c>
      <c r="V25" s="58">
        <v>7200</v>
      </c>
      <c r="W25" s="25" t="s">
        <v>40</v>
      </c>
      <c r="X25" s="25" t="s">
        <v>40</v>
      </c>
      <c r="Y25" s="25" t="s">
        <v>40</v>
      </c>
      <c r="Z25" s="9" t="s">
        <v>40</v>
      </c>
      <c r="AA25" s="9" t="s">
        <v>40</v>
      </c>
      <c r="AB25" s="78">
        <f t="shared" si="5"/>
        <v>14400</v>
      </c>
      <c r="AC25" s="26"/>
      <c r="AD25" s="58">
        <v>396</v>
      </c>
      <c r="AE25" s="2" t="s">
        <v>8</v>
      </c>
      <c r="AF25" s="58">
        <v>7200</v>
      </c>
      <c r="AG25" s="58">
        <v>7200</v>
      </c>
      <c r="AH25" s="58">
        <v>7200</v>
      </c>
      <c r="AI25" s="58">
        <v>7200</v>
      </c>
      <c r="AJ25" s="25" t="s">
        <v>40</v>
      </c>
      <c r="AK25" s="25" t="s">
        <v>40</v>
      </c>
      <c r="AL25" s="25" t="s">
        <v>40</v>
      </c>
      <c r="AM25" s="78">
        <f t="shared" si="3"/>
        <v>28800</v>
      </c>
    </row>
    <row r="26" spans="1:41" x14ac:dyDescent="0.25">
      <c r="A26" s="21"/>
      <c r="B26" s="58">
        <v>405</v>
      </c>
      <c r="C26" s="2" t="s">
        <v>8</v>
      </c>
      <c r="D26" s="2" t="s">
        <v>94</v>
      </c>
      <c r="E26" s="2" t="s">
        <v>24</v>
      </c>
      <c r="F26" s="2" t="s">
        <v>46</v>
      </c>
      <c r="G26" s="68" t="s">
        <v>150</v>
      </c>
      <c r="H26" s="2" t="s">
        <v>40</v>
      </c>
      <c r="I26" s="2" t="s">
        <v>40</v>
      </c>
      <c r="J26" s="2" t="s">
        <v>40</v>
      </c>
      <c r="K26" s="2" t="s">
        <v>45</v>
      </c>
      <c r="L26" s="13" t="s">
        <v>48</v>
      </c>
      <c r="M26" s="13" t="s">
        <v>136</v>
      </c>
      <c r="N26" s="13">
        <v>3.97</v>
      </c>
      <c r="O26" s="25">
        <v>24927</v>
      </c>
      <c r="P26" s="25">
        <v>10419</v>
      </c>
      <c r="Q26" s="99" t="s">
        <v>40</v>
      </c>
      <c r="R26" s="8">
        <f t="shared" si="2"/>
        <v>0.41798050306896134</v>
      </c>
      <c r="S26" s="116">
        <v>2697000</v>
      </c>
      <c r="T26" s="116">
        <v>30719</v>
      </c>
      <c r="U26" s="58">
        <v>6681</v>
      </c>
      <c r="V26" s="58">
        <v>6681</v>
      </c>
      <c r="W26" s="25" t="s">
        <v>40</v>
      </c>
      <c r="X26" s="25" t="s">
        <v>40</v>
      </c>
      <c r="Y26" s="25" t="s">
        <v>40</v>
      </c>
      <c r="Z26" s="9" t="s">
        <v>40</v>
      </c>
      <c r="AA26" s="9" t="s">
        <v>40</v>
      </c>
      <c r="AB26" s="78">
        <f t="shared" si="5"/>
        <v>13362</v>
      </c>
      <c r="AC26" s="26"/>
      <c r="AD26" s="58">
        <v>405</v>
      </c>
      <c r="AE26" s="2" t="s">
        <v>8</v>
      </c>
      <c r="AF26" s="58">
        <v>6681</v>
      </c>
      <c r="AG26" s="58">
        <v>6681</v>
      </c>
      <c r="AH26" s="58">
        <v>6681</v>
      </c>
      <c r="AI26" s="25">
        <v>6681</v>
      </c>
      <c r="AJ26" s="25" t="s">
        <v>40</v>
      </c>
      <c r="AK26" s="25" t="s">
        <v>40</v>
      </c>
      <c r="AL26" s="25" t="s">
        <v>40</v>
      </c>
      <c r="AM26" s="78">
        <f t="shared" si="3"/>
        <v>26724</v>
      </c>
    </row>
    <row r="27" spans="1:41" x14ac:dyDescent="0.25">
      <c r="A27" s="21"/>
      <c r="B27" s="58">
        <v>415</v>
      </c>
      <c r="C27" s="2" t="s">
        <v>8</v>
      </c>
      <c r="D27" s="2" t="s">
        <v>95</v>
      </c>
      <c r="E27" s="2" t="s">
        <v>24</v>
      </c>
      <c r="F27" s="2" t="s">
        <v>46</v>
      </c>
      <c r="G27" s="68" t="s">
        <v>150</v>
      </c>
      <c r="H27" s="2" t="s">
        <v>32</v>
      </c>
      <c r="I27" s="2" t="s">
        <v>39</v>
      </c>
      <c r="J27" s="62">
        <v>3.5</v>
      </c>
      <c r="K27" s="2" t="s">
        <v>45</v>
      </c>
      <c r="L27" s="13" t="s">
        <v>48</v>
      </c>
      <c r="M27" s="13" t="s">
        <v>137</v>
      </c>
      <c r="N27" s="13">
        <v>4.97</v>
      </c>
      <c r="O27" s="25">
        <v>2729</v>
      </c>
      <c r="P27" s="25">
        <v>2787</v>
      </c>
      <c r="Q27" s="99" t="s">
        <v>40</v>
      </c>
      <c r="R27" s="8">
        <f t="shared" si="2"/>
        <v>1.0212532063026749</v>
      </c>
      <c r="S27" s="116">
        <v>1024000</v>
      </c>
      <c r="T27" s="116">
        <v>11663</v>
      </c>
      <c r="U27" s="25">
        <v>2787</v>
      </c>
      <c r="V27" s="104">
        <v>2787</v>
      </c>
      <c r="W27" s="104">
        <v>2787</v>
      </c>
      <c r="X27" s="104">
        <v>1400</v>
      </c>
      <c r="Y27" s="25" t="s">
        <v>40</v>
      </c>
      <c r="Z27" s="9" t="s">
        <v>40</v>
      </c>
      <c r="AA27" s="9" t="s">
        <v>40</v>
      </c>
      <c r="AB27" s="78">
        <f t="shared" si="5"/>
        <v>9761</v>
      </c>
      <c r="AC27" s="26"/>
      <c r="AD27" s="58">
        <v>415</v>
      </c>
      <c r="AE27" s="2" t="s">
        <v>8</v>
      </c>
      <c r="AF27" s="25">
        <v>2787</v>
      </c>
      <c r="AG27" s="25">
        <v>2787</v>
      </c>
      <c r="AH27" s="25">
        <v>2787</v>
      </c>
      <c r="AI27" s="25">
        <v>2787</v>
      </c>
      <c r="AJ27" s="25" t="s">
        <v>40</v>
      </c>
      <c r="AK27" s="25" t="s">
        <v>40</v>
      </c>
      <c r="AL27" s="25" t="s">
        <v>40</v>
      </c>
      <c r="AM27" s="78">
        <f t="shared" si="3"/>
        <v>11148</v>
      </c>
    </row>
    <row r="28" spans="1:41" x14ac:dyDescent="0.25">
      <c r="A28" s="21"/>
      <c r="B28" s="58">
        <v>434</v>
      </c>
      <c r="C28" s="2" t="s">
        <v>8</v>
      </c>
      <c r="D28" s="2" t="s">
        <v>86</v>
      </c>
      <c r="E28" s="2" t="s">
        <v>24</v>
      </c>
      <c r="F28" s="2" t="s">
        <v>46</v>
      </c>
      <c r="G28" s="68" t="s">
        <v>150</v>
      </c>
      <c r="H28" s="2" t="s">
        <v>40</v>
      </c>
      <c r="I28" s="2" t="s">
        <v>40</v>
      </c>
      <c r="J28" s="2" t="s">
        <v>40</v>
      </c>
      <c r="K28" s="2" t="s">
        <v>42</v>
      </c>
      <c r="L28" s="6" t="s">
        <v>71</v>
      </c>
      <c r="M28" s="6" t="s">
        <v>50</v>
      </c>
      <c r="N28" s="6">
        <v>0.5</v>
      </c>
      <c r="O28" s="25">
        <v>8185</v>
      </c>
      <c r="P28" s="25">
        <v>0</v>
      </c>
      <c r="Q28" s="99" t="s">
        <v>40</v>
      </c>
      <c r="R28" s="8">
        <f t="shared" si="2"/>
        <v>0</v>
      </c>
      <c r="S28" s="116">
        <v>112000</v>
      </c>
      <c r="T28" s="116" t="s">
        <v>40</v>
      </c>
      <c r="U28" s="58">
        <v>3742</v>
      </c>
      <c r="V28" s="25" t="s">
        <v>40</v>
      </c>
      <c r="W28" s="25" t="s">
        <v>40</v>
      </c>
      <c r="X28" s="25" t="s">
        <v>40</v>
      </c>
      <c r="Y28" s="25" t="s">
        <v>40</v>
      </c>
      <c r="Z28" s="9" t="s">
        <v>40</v>
      </c>
      <c r="AA28" s="9" t="s">
        <v>40</v>
      </c>
      <c r="AB28" s="78">
        <f t="shared" si="5"/>
        <v>3742</v>
      </c>
      <c r="AC28" s="26"/>
      <c r="AD28" s="58">
        <v>434</v>
      </c>
      <c r="AE28" s="2" t="s">
        <v>8</v>
      </c>
      <c r="AF28" s="58">
        <v>3742</v>
      </c>
      <c r="AG28" s="58">
        <v>3742</v>
      </c>
      <c r="AH28" s="25" t="s">
        <v>40</v>
      </c>
      <c r="AI28" s="25" t="s">
        <v>40</v>
      </c>
      <c r="AJ28" s="25" t="s">
        <v>40</v>
      </c>
      <c r="AK28" s="25" t="s">
        <v>40</v>
      </c>
      <c r="AL28" s="25" t="s">
        <v>40</v>
      </c>
      <c r="AM28" s="78">
        <f t="shared" si="3"/>
        <v>7484</v>
      </c>
      <c r="AO28" s="20" t="s">
        <v>133</v>
      </c>
    </row>
    <row r="29" spans="1:41" x14ac:dyDescent="0.25">
      <c r="A29" s="21"/>
      <c r="B29" s="58">
        <v>436</v>
      </c>
      <c r="C29" s="2" t="s">
        <v>8</v>
      </c>
      <c r="D29" s="2" t="s">
        <v>86</v>
      </c>
      <c r="E29" s="2" t="s">
        <v>24</v>
      </c>
      <c r="F29" s="2" t="s">
        <v>46</v>
      </c>
      <c r="G29" s="68" t="s">
        <v>150</v>
      </c>
      <c r="H29" s="2" t="s">
        <v>40</v>
      </c>
      <c r="I29" s="2" t="s">
        <v>40</v>
      </c>
      <c r="J29" s="2" t="s">
        <v>40</v>
      </c>
      <c r="K29" s="2" t="s">
        <v>42</v>
      </c>
      <c r="L29" s="6" t="s">
        <v>71</v>
      </c>
      <c r="M29" s="6" t="s">
        <v>50</v>
      </c>
      <c r="N29" s="6">
        <v>0.5</v>
      </c>
      <c r="O29" s="25">
        <v>3535</v>
      </c>
      <c r="P29" s="25">
        <v>0</v>
      </c>
      <c r="Q29" s="99" t="s">
        <v>40</v>
      </c>
      <c r="R29" s="8">
        <f t="shared" si="2"/>
        <v>0</v>
      </c>
      <c r="S29" s="116">
        <v>91000</v>
      </c>
      <c r="T29" s="116" t="s">
        <v>40</v>
      </c>
      <c r="U29" s="58">
        <v>3742</v>
      </c>
      <c r="V29" s="25" t="s">
        <v>40</v>
      </c>
      <c r="W29" s="25" t="s">
        <v>40</v>
      </c>
      <c r="X29" s="25" t="s">
        <v>40</v>
      </c>
      <c r="Y29" s="25" t="s">
        <v>40</v>
      </c>
      <c r="Z29" s="9" t="s">
        <v>40</v>
      </c>
      <c r="AA29" s="9" t="s">
        <v>40</v>
      </c>
      <c r="AB29" s="78">
        <f t="shared" si="5"/>
        <v>3742</v>
      </c>
      <c r="AC29" s="26"/>
      <c r="AD29" s="58">
        <v>436</v>
      </c>
      <c r="AE29" s="2" t="s">
        <v>8</v>
      </c>
      <c r="AF29" s="58">
        <v>3742</v>
      </c>
      <c r="AG29" s="58">
        <v>3742</v>
      </c>
      <c r="AH29" s="25" t="s">
        <v>40</v>
      </c>
      <c r="AI29" s="25" t="s">
        <v>40</v>
      </c>
      <c r="AJ29" s="25" t="s">
        <v>40</v>
      </c>
      <c r="AK29" s="25" t="s">
        <v>40</v>
      </c>
      <c r="AL29" s="25" t="s">
        <v>40</v>
      </c>
      <c r="AM29" s="78">
        <f t="shared" si="3"/>
        <v>7484</v>
      </c>
      <c r="AO29" s="20" t="s">
        <v>133</v>
      </c>
    </row>
    <row r="30" spans="1:41" x14ac:dyDescent="0.25">
      <c r="A30" s="21"/>
      <c r="B30" s="58">
        <v>438</v>
      </c>
      <c r="C30" s="2" t="s">
        <v>8</v>
      </c>
      <c r="D30" s="2" t="s">
        <v>86</v>
      </c>
      <c r="E30" s="2" t="s">
        <v>24</v>
      </c>
      <c r="F30" s="2" t="s">
        <v>46</v>
      </c>
      <c r="G30" s="68" t="s">
        <v>150</v>
      </c>
      <c r="H30" s="2" t="s">
        <v>40</v>
      </c>
      <c r="I30" s="2" t="s">
        <v>40</v>
      </c>
      <c r="J30" s="2" t="s">
        <v>40</v>
      </c>
      <c r="K30" s="2" t="s">
        <v>42</v>
      </c>
      <c r="L30" s="6" t="s">
        <v>71</v>
      </c>
      <c r="M30" s="6" t="s">
        <v>50</v>
      </c>
      <c r="N30" s="6">
        <v>0.5</v>
      </c>
      <c r="O30" s="25">
        <v>2690</v>
      </c>
      <c r="P30" s="25">
        <v>0</v>
      </c>
      <c r="Q30" s="99" t="s">
        <v>40</v>
      </c>
      <c r="R30" s="8">
        <f t="shared" si="2"/>
        <v>0</v>
      </c>
      <c r="S30" s="116">
        <v>85000</v>
      </c>
      <c r="T30" s="116" t="s">
        <v>40</v>
      </c>
      <c r="U30" s="58">
        <v>4260</v>
      </c>
      <c r="V30" s="58">
        <v>4260</v>
      </c>
      <c r="W30" s="58">
        <v>4260</v>
      </c>
      <c r="X30" s="25" t="s">
        <v>40</v>
      </c>
      <c r="Y30" s="25" t="s">
        <v>40</v>
      </c>
      <c r="Z30" s="9" t="s">
        <v>40</v>
      </c>
      <c r="AA30" s="9" t="s">
        <v>40</v>
      </c>
      <c r="AB30" s="78">
        <f t="shared" si="5"/>
        <v>12780</v>
      </c>
      <c r="AC30" s="26"/>
      <c r="AD30" s="58">
        <v>438</v>
      </c>
      <c r="AE30" s="2" t="s">
        <v>8</v>
      </c>
      <c r="AF30" s="58">
        <v>4260</v>
      </c>
      <c r="AG30" s="58">
        <v>4260</v>
      </c>
      <c r="AH30" s="58">
        <v>4260</v>
      </c>
      <c r="AI30" s="58">
        <v>4260</v>
      </c>
      <c r="AJ30" s="25" t="s">
        <v>40</v>
      </c>
      <c r="AK30" s="25" t="s">
        <v>40</v>
      </c>
      <c r="AL30" s="25" t="s">
        <v>40</v>
      </c>
      <c r="AM30" s="78">
        <f t="shared" si="3"/>
        <v>17040</v>
      </c>
      <c r="AO30" s="20" t="s">
        <v>133</v>
      </c>
    </row>
    <row r="31" spans="1:41" x14ac:dyDescent="0.25">
      <c r="A31" s="21"/>
      <c r="B31" s="58">
        <v>440</v>
      </c>
      <c r="C31" s="2" t="s">
        <v>8</v>
      </c>
      <c r="D31" s="2" t="s">
        <v>86</v>
      </c>
      <c r="E31" s="2" t="s">
        <v>24</v>
      </c>
      <c r="F31" s="2" t="s">
        <v>46</v>
      </c>
      <c r="G31" s="68" t="s">
        <v>150</v>
      </c>
      <c r="H31" s="2" t="s">
        <v>40</v>
      </c>
      <c r="I31" s="2" t="s">
        <v>40</v>
      </c>
      <c r="J31" s="2" t="s">
        <v>40</v>
      </c>
      <c r="K31" s="2" t="s">
        <v>42</v>
      </c>
      <c r="L31" s="6" t="s">
        <v>71</v>
      </c>
      <c r="M31" s="6" t="s">
        <v>50</v>
      </c>
      <c r="N31" s="6">
        <v>0.5</v>
      </c>
      <c r="O31" s="25">
        <v>2739</v>
      </c>
      <c r="P31" s="25">
        <v>0</v>
      </c>
      <c r="Q31" s="99" t="s">
        <v>40</v>
      </c>
      <c r="R31" s="8">
        <f t="shared" si="2"/>
        <v>0</v>
      </c>
      <c r="S31" s="116">
        <v>85000</v>
      </c>
      <c r="T31" s="116" t="s">
        <v>40</v>
      </c>
      <c r="U31" s="25">
        <v>2739</v>
      </c>
      <c r="V31" s="25" t="s">
        <v>40</v>
      </c>
      <c r="W31" s="25" t="s">
        <v>40</v>
      </c>
      <c r="X31" s="25" t="s">
        <v>40</v>
      </c>
      <c r="Y31" s="25" t="s">
        <v>40</v>
      </c>
      <c r="Z31" s="9" t="s">
        <v>40</v>
      </c>
      <c r="AA31" s="9" t="s">
        <v>40</v>
      </c>
      <c r="AB31" s="78">
        <f t="shared" si="5"/>
        <v>2739</v>
      </c>
      <c r="AC31" s="26"/>
      <c r="AD31" s="58">
        <v>440</v>
      </c>
      <c r="AE31" s="2" t="s">
        <v>8</v>
      </c>
      <c r="AF31" s="25">
        <v>2739</v>
      </c>
      <c r="AG31" s="25">
        <v>2739</v>
      </c>
      <c r="AH31" s="25" t="s">
        <v>40</v>
      </c>
      <c r="AI31" s="25" t="s">
        <v>40</v>
      </c>
      <c r="AJ31" s="25" t="s">
        <v>40</v>
      </c>
      <c r="AK31" s="25" t="s">
        <v>40</v>
      </c>
      <c r="AL31" s="25" t="s">
        <v>40</v>
      </c>
      <c r="AM31" s="78">
        <f t="shared" si="3"/>
        <v>5478</v>
      </c>
      <c r="AO31" s="20" t="s">
        <v>133</v>
      </c>
    </row>
    <row r="32" spans="1:41" x14ac:dyDescent="0.25">
      <c r="A32" s="21"/>
      <c r="B32" s="58">
        <v>450</v>
      </c>
      <c r="C32" s="2" t="s">
        <v>8</v>
      </c>
      <c r="D32" s="2" t="s">
        <v>86</v>
      </c>
      <c r="E32" s="2" t="s">
        <v>24</v>
      </c>
      <c r="F32" s="2" t="s">
        <v>46</v>
      </c>
      <c r="G32" s="68" t="s">
        <v>150</v>
      </c>
      <c r="H32" s="2" t="s">
        <v>40</v>
      </c>
      <c r="I32" s="2" t="s">
        <v>40</v>
      </c>
      <c r="J32" s="2" t="s">
        <v>40</v>
      </c>
      <c r="K32" s="2" t="s">
        <v>42</v>
      </c>
      <c r="L32" s="6" t="s">
        <v>71</v>
      </c>
      <c r="M32" s="6" t="s">
        <v>50</v>
      </c>
      <c r="N32" s="6">
        <v>0.5</v>
      </c>
      <c r="O32" s="25">
        <v>12112</v>
      </c>
      <c r="P32" s="25">
        <v>8766</v>
      </c>
      <c r="Q32" s="99" t="s">
        <v>40</v>
      </c>
      <c r="R32" s="8">
        <f t="shared" si="2"/>
        <v>0.72374504623513869</v>
      </c>
      <c r="S32" s="116">
        <v>2635000</v>
      </c>
      <c r="T32" s="116" t="s">
        <v>40</v>
      </c>
      <c r="U32" s="58">
        <f xml:space="preserve"> P32 / 1.8</f>
        <v>4870</v>
      </c>
      <c r="V32" s="58">
        <f xml:space="preserve"> P32 - U32</f>
        <v>3896</v>
      </c>
      <c r="W32" s="25" t="s">
        <v>40</v>
      </c>
      <c r="X32" s="25" t="s">
        <v>40</v>
      </c>
      <c r="Y32" s="25" t="s">
        <v>40</v>
      </c>
      <c r="Z32" s="9" t="s">
        <v>40</v>
      </c>
      <c r="AA32" s="9" t="s">
        <v>40</v>
      </c>
      <c r="AB32" s="78">
        <f t="shared" si="5"/>
        <v>8766</v>
      </c>
      <c r="AC32" s="26"/>
      <c r="AD32" s="58">
        <v>450</v>
      </c>
      <c r="AE32" s="2" t="s">
        <v>8</v>
      </c>
      <c r="AF32" s="58">
        <v>4870</v>
      </c>
      <c r="AG32" s="58">
        <v>4870</v>
      </c>
      <c r="AH32" s="58">
        <v>4870</v>
      </c>
      <c r="AI32" s="58">
        <f xml:space="preserve"> AH32 / 2</f>
        <v>2435</v>
      </c>
      <c r="AJ32" s="25" t="s">
        <v>40</v>
      </c>
      <c r="AK32" s="25" t="s">
        <v>40</v>
      </c>
      <c r="AL32" s="25" t="s">
        <v>40</v>
      </c>
      <c r="AM32" s="78">
        <f t="shared" si="3"/>
        <v>17045</v>
      </c>
    </row>
    <row r="33" spans="1:41" x14ac:dyDescent="0.25">
      <c r="A33" s="21"/>
      <c r="B33" s="58">
        <v>7</v>
      </c>
      <c r="C33" s="2" t="s">
        <v>9</v>
      </c>
      <c r="D33" s="2" t="s">
        <v>96</v>
      </c>
      <c r="E33" s="2" t="s">
        <v>24</v>
      </c>
      <c r="F33" s="2" t="s">
        <v>46</v>
      </c>
      <c r="G33" s="68" t="s">
        <v>150</v>
      </c>
      <c r="H33" s="2" t="s">
        <v>32</v>
      </c>
      <c r="I33" s="2" t="s">
        <v>39</v>
      </c>
      <c r="J33" s="62">
        <v>3.5</v>
      </c>
      <c r="K33" s="2" t="s">
        <v>42</v>
      </c>
      <c r="L33" s="6" t="s">
        <v>71</v>
      </c>
      <c r="M33" s="6" t="s">
        <v>50</v>
      </c>
      <c r="N33" s="6">
        <v>0.5</v>
      </c>
      <c r="O33" s="25">
        <v>15624</v>
      </c>
      <c r="P33" s="25">
        <v>2040</v>
      </c>
      <c r="Q33" s="99" t="s">
        <v>40</v>
      </c>
      <c r="R33" s="8">
        <f t="shared" si="2"/>
        <v>0.13056835637480799</v>
      </c>
      <c r="S33" s="116">
        <v>1925000</v>
      </c>
      <c r="T33" s="116">
        <v>21926</v>
      </c>
      <c r="U33" s="58">
        <v>5185</v>
      </c>
      <c r="V33" s="58">
        <v>5185</v>
      </c>
      <c r="W33" s="104">
        <v>5185</v>
      </c>
      <c r="X33" s="104">
        <v>2600</v>
      </c>
      <c r="Y33" s="25" t="s">
        <v>40</v>
      </c>
      <c r="Z33" s="9" t="s">
        <v>40</v>
      </c>
      <c r="AA33" s="9" t="s">
        <v>40</v>
      </c>
      <c r="AB33" s="78">
        <f t="shared" si="5"/>
        <v>18155</v>
      </c>
      <c r="AC33" s="26"/>
      <c r="AD33" s="58">
        <v>7</v>
      </c>
      <c r="AE33" s="2" t="s">
        <v>9</v>
      </c>
      <c r="AF33" s="58">
        <v>5185</v>
      </c>
      <c r="AG33" s="58">
        <v>5185</v>
      </c>
      <c r="AH33" s="58">
        <v>5185</v>
      </c>
      <c r="AI33" s="25" t="s">
        <v>40</v>
      </c>
      <c r="AJ33" s="25" t="s">
        <v>40</v>
      </c>
      <c r="AK33" s="25" t="s">
        <v>40</v>
      </c>
      <c r="AL33" s="25" t="s">
        <v>40</v>
      </c>
      <c r="AM33" s="78">
        <f t="shared" si="3"/>
        <v>15555</v>
      </c>
    </row>
    <row r="34" spans="1:41" x14ac:dyDescent="0.25">
      <c r="A34" s="21"/>
      <c r="B34" s="2" t="s">
        <v>33</v>
      </c>
      <c r="C34" s="2" t="s">
        <v>9</v>
      </c>
      <c r="D34" s="2" t="s">
        <v>97</v>
      </c>
      <c r="E34" s="2" t="s">
        <v>24</v>
      </c>
      <c r="F34" s="2" t="s">
        <v>46</v>
      </c>
      <c r="G34" s="68" t="s">
        <v>150</v>
      </c>
      <c r="H34" s="2" t="s">
        <v>32</v>
      </c>
      <c r="I34" s="2" t="s">
        <v>39</v>
      </c>
      <c r="J34" s="62">
        <v>3.5</v>
      </c>
      <c r="K34" s="2" t="s">
        <v>43</v>
      </c>
      <c r="L34" s="6" t="s">
        <v>71</v>
      </c>
      <c r="M34" s="6" t="s">
        <v>50</v>
      </c>
      <c r="N34" s="6">
        <v>0.5</v>
      </c>
      <c r="O34" s="25">
        <v>6110</v>
      </c>
      <c r="P34" s="25">
        <v>0</v>
      </c>
      <c r="Q34" s="25">
        <v>2640</v>
      </c>
      <c r="R34" s="8">
        <f t="shared" si="2"/>
        <v>0</v>
      </c>
      <c r="S34" s="116">
        <v>1499000</v>
      </c>
      <c r="T34" s="116">
        <v>17074</v>
      </c>
      <c r="U34" s="58">
        <f xml:space="preserve"> Q34 / 2</f>
        <v>1320</v>
      </c>
      <c r="V34" s="58">
        <v>1320</v>
      </c>
      <c r="W34" s="104">
        <v>1320</v>
      </c>
      <c r="X34" s="104">
        <v>750</v>
      </c>
      <c r="Y34" s="25" t="s">
        <v>40</v>
      </c>
      <c r="Z34" s="9" t="s">
        <v>40</v>
      </c>
      <c r="AA34" s="9" t="s">
        <v>40</v>
      </c>
      <c r="AB34" s="78">
        <f t="shared" si="5"/>
        <v>4710</v>
      </c>
      <c r="AC34" s="26"/>
      <c r="AD34" s="2" t="s">
        <v>33</v>
      </c>
      <c r="AE34" s="2" t="s">
        <v>9</v>
      </c>
      <c r="AF34" s="58">
        <v>2640</v>
      </c>
      <c r="AG34" s="58">
        <v>2640</v>
      </c>
      <c r="AH34" s="58">
        <v>2640</v>
      </c>
      <c r="AI34" s="90">
        <v>2640</v>
      </c>
      <c r="AJ34" s="25" t="s">
        <v>40</v>
      </c>
      <c r="AK34" s="25" t="s">
        <v>40</v>
      </c>
      <c r="AL34" s="25" t="s">
        <v>40</v>
      </c>
      <c r="AM34" s="78">
        <f t="shared" si="3"/>
        <v>10560</v>
      </c>
    </row>
    <row r="35" spans="1:41" x14ac:dyDescent="0.25">
      <c r="A35" s="21"/>
      <c r="B35" s="2" t="s">
        <v>10</v>
      </c>
      <c r="C35" s="2" t="s">
        <v>9</v>
      </c>
      <c r="D35" s="2" t="s">
        <v>98</v>
      </c>
      <c r="E35" s="2" t="s">
        <v>27</v>
      </c>
      <c r="F35" s="2" t="s">
        <v>30</v>
      </c>
      <c r="G35" s="57">
        <v>2.5</v>
      </c>
      <c r="H35" s="2" t="s">
        <v>35</v>
      </c>
      <c r="I35" s="2" t="s">
        <v>38</v>
      </c>
      <c r="J35" s="57">
        <v>2.5</v>
      </c>
      <c r="K35" s="2" t="s">
        <v>45</v>
      </c>
      <c r="L35" s="13" t="s">
        <v>48</v>
      </c>
      <c r="M35" s="13" t="s">
        <v>51</v>
      </c>
      <c r="N35" s="13">
        <v>0.97</v>
      </c>
      <c r="O35" s="25">
        <v>9080</v>
      </c>
      <c r="P35" s="25">
        <v>0</v>
      </c>
      <c r="Q35" s="25">
        <v>2034</v>
      </c>
      <c r="R35" s="8">
        <f t="shared" si="2"/>
        <v>0</v>
      </c>
      <c r="S35" s="116">
        <v>1255000</v>
      </c>
      <c r="T35" s="116">
        <v>14294</v>
      </c>
      <c r="U35" s="58">
        <f t="shared" ref="U35:U36" si="6" xml:space="preserve"> Q35 / 2</f>
        <v>1017</v>
      </c>
      <c r="V35" s="58">
        <v>1321</v>
      </c>
      <c r="W35" s="104" t="s">
        <v>40</v>
      </c>
      <c r="X35" s="25" t="s">
        <v>40</v>
      </c>
      <c r="Y35" s="25" t="s">
        <v>40</v>
      </c>
      <c r="Z35" s="9" t="s">
        <v>40</v>
      </c>
      <c r="AA35" s="9" t="s">
        <v>40</v>
      </c>
      <c r="AB35" s="78">
        <f t="shared" si="5"/>
        <v>2338</v>
      </c>
      <c r="AC35" s="26"/>
      <c r="AD35" s="2" t="s">
        <v>10</v>
      </c>
      <c r="AE35" s="2" t="s">
        <v>9</v>
      </c>
      <c r="AF35" s="58">
        <v>2640</v>
      </c>
      <c r="AG35" s="58">
        <v>2640</v>
      </c>
      <c r="AH35" s="58">
        <v>2640</v>
      </c>
      <c r="AI35" s="90">
        <v>2640</v>
      </c>
      <c r="AJ35" s="25" t="s">
        <v>40</v>
      </c>
      <c r="AK35" s="25" t="s">
        <v>40</v>
      </c>
      <c r="AL35" s="25" t="s">
        <v>40</v>
      </c>
      <c r="AM35" s="78">
        <f t="shared" si="3"/>
        <v>10560</v>
      </c>
    </row>
    <row r="36" spans="1:41" x14ac:dyDescent="0.25">
      <c r="A36" s="21"/>
      <c r="B36" s="2" t="s">
        <v>11</v>
      </c>
      <c r="C36" s="2" t="s">
        <v>9</v>
      </c>
      <c r="D36" s="2" t="s">
        <v>99</v>
      </c>
      <c r="E36" s="2" t="s">
        <v>27</v>
      </c>
      <c r="F36" s="2" t="s">
        <v>30</v>
      </c>
      <c r="G36" s="57">
        <v>2.5</v>
      </c>
      <c r="H36" s="2" t="s">
        <v>35</v>
      </c>
      <c r="I36" s="2" t="s">
        <v>38</v>
      </c>
      <c r="J36" s="57">
        <v>2.5</v>
      </c>
      <c r="K36" s="2" t="s">
        <v>45</v>
      </c>
      <c r="L36" s="13" t="s">
        <v>48</v>
      </c>
      <c r="M36" s="13" t="s">
        <v>51</v>
      </c>
      <c r="N36" s="13">
        <v>0.97</v>
      </c>
      <c r="O36" s="99" t="s">
        <v>40</v>
      </c>
      <c r="P36" s="25">
        <v>0</v>
      </c>
      <c r="Q36" s="25">
        <v>2295</v>
      </c>
      <c r="R36" s="8" t="s">
        <v>69</v>
      </c>
      <c r="S36" s="116">
        <v>1203000</v>
      </c>
      <c r="T36" s="116">
        <v>13702</v>
      </c>
      <c r="U36" s="58">
        <f t="shared" si="6"/>
        <v>1147.5</v>
      </c>
      <c r="V36" s="58">
        <v>1322</v>
      </c>
      <c r="W36" s="104" t="s">
        <v>40</v>
      </c>
      <c r="X36" s="25" t="s">
        <v>40</v>
      </c>
      <c r="Y36" s="25" t="s">
        <v>40</v>
      </c>
      <c r="Z36" s="9" t="s">
        <v>40</v>
      </c>
      <c r="AA36" s="9" t="s">
        <v>40</v>
      </c>
      <c r="AB36" s="78">
        <f t="shared" si="5"/>
        <v>2469.5</v>
      </c>
      <c r="AC36" s="26"/>
      <c r="AD36" s="2" t="s">
        <v>11</v>
      </c>
      <c r="AE36" s="2" t="s">
        <v>9</v>
      </c>
      <c r="AF36" s="58">
        <v>2640</v>
      </c>
      <c r="AG36" s="58">
        <v>2640</v>
      </c>
      <c r="AH36" s="58">
        <v>2640</v>
      </c>
      <c r="AI36" s="90">
        <v>2640</v>
      </c>
      <c r="AJ36" s="25" t="s">
        <v>40</v>
      </c>
      <c r="AK36" s="25" t="s">
        <v>40</v>
      </c>
      <c r="AL36" s="25" t="s">
        <v>40</v>
      </c>
      <c r="AM36" s="78">
        <f t="shared" si="3"/>
        <v>10560</v>
      </c>
    </row>
    <row r="37" spans="1:41" x14ac:dyDescent="0.25">
      <c r="A37" s="21" t="s">
        <v>125</v>
      </c>
      <c r="B37" s="60">
        <v>10</v>
      </c>
      <c r="C37" s="52" t="s">
        <v>12</v>
      </c>
      <c r="D37" s="52" t="s">
        <v>86</v>
      </c>
      <c r="E37" s="52" t="s">
        <v>28</v>
      </c>
      <c r="F37" s="52" t="s">
        <v>31</v>
      </c>
      <c r="G37" s="52" t="s">
        <v>31</v>
      </c>
      <c r="H37" s="52" t="s">
        <v>40</v>
      </c>
      <c r="I37" s="52" t="s">
        <v>40</v>
      </c>
      <c r="J37" s="52" t="s">
        <v>40</v>
      </c>
      <c r="K37" s="52" t="s">
        <v>45</v>
      </c>
      <c r="L37" s="53" t="s">
        <v>48</v>
      </c>
      <c r="M37" s="53" t="s">
        <v>55</v>
      </c>
      <c r="N37" s="113" t="s">
        <v>40</v>
      </c>
      <c r="O37" s="56">
        <v>56264</v>
      </c>
      <c r="P37" s="56">
        <v>0</v>
      </c>
      <c r="Q37" s="56">
        <v>0</v>
      </c>
      <c r="R37" s="55">
        <f t="shared" si="2"/>
        <v>0</v>
      </c>
      <c r="S37" s="121" t="s">
        <v>40</v>
      </c>
      <c r="T37" s="121" t="s">
        <v>40</v>
      </c>
      <c r="U37" s="56" t="s">
        <v>40</v>
      </c>
      <c r="V37" s="56" t="s">
        <v>40</v>
      </c>
      <c r="W37" s="56" t="s">
        <v>40</v>
      </c>
      <c r="X37" s="56" t="s">
        <v>40</v>
      </c>
      <c r="Y37" s="56" t="s">
        <v>40</v>
      </c>
      <c r="Z37" s="54" t="s">
        <v>40</v>
      </c>
      <c r="AA37" s="54" t="s">
        <v>40</v>
      </c>
      <c r="AB37" s="56" t="s">
        <v>40</v>
      </c>
      <c r="AC37" s="129"/>
      <c r="AD37" s="60">
        <v>10</v>
      </c>
      <c r="AE37" s="52" t="s">
        <v>12</v>
      </c>
      <c r="AF37" s="56" t="s">
        <v>40</v>
      </c>
      <c r="AG37" s="56" t="s">
        <v>40</v>
      </c>
      <c r="AH37" s="56" t="s">
        <v>40</v>
      </c>
      <c r="AI37" s="56" t="s">
        <v>40</v>
      </c>
      <c r="AJ37" s="56" t="s">
        <v>40</v>
      </c>
      <c r="AK37" s="56" t="s">
        <v>40</v>
      </c>
      <c r="AL37" s="56" t="s">
        <v>40</v>
      </c>
      <c r="AM37" s="91">
        <f t="shared" si="3"/>
        <v>0</v>
      </c>
      <c r="AO37" s="20" t="s">
        <v>128</v>
      </c>
    </row>
    <row r="38" spans="1:41" x14ac:dyDescent="0.25">
      <c r="A38" s="21"/>
      <c r="B38" s="2" t="s">
        <v>34</v>
      </c>
      <c r="C38" s="2" t="s">
        <v>12</v>
      </c>
      <c r="D38" s="2" t="s">
        <v>100</v>
      </c>
      <c r="E38" s="2" t="s">
        <v>24</v>
      </c>
      <c r="F38" s="2" t="s">
        <v>46</v>
      </c>
      <c r="G38" s="68" t="s">
        <v>150</v>
      </c>
      <c r="H38" s="2" t="s">
        <v>32</v>
      </c>
      <c r="I38" s="2" t="s">
        <v>39</v>
      </c>
      <c r="J38" s="62">
        <v>3.5</v>
      </c>
      <c r="K38" s="2" t="s">
        <v>43</v>
      </c>
      <c r="L38" s="6" t="s">
        <v>71</v>
      </c>
      <c r="M38" s="6" t="s">
        <v>50</v>
      </c>
      <c r="N38" s="6">
        <v>0.5</v>
      </c>
      <c r="O38" s="25">
        <v>6807</v>
      </c>
      <c r="P38" s="25">
        <v>0</v>
      </c>
      <c r="Q38" s="25">
        <v>2831</v>
      </c>
      <c r="R38" s="8">
        <f t="shared" si="2"/>
        <v>0</v>
      </c>
      <c r="S38" s="116">
        <v>1443000</v>
      </c>
      <c r="T38" s="116">
        <v>16436</v>
      </c>
      <c r="U38" s="58">
        <f xml:space="preserve"> Q38 / 2</f>
        <v>1415.5</v>
      </c>
      <c r="V38" s="58">
        <f xml:space="preserve"> Q38 / 2</f>
        <v>1415.5</v>
      </c>
      <c r="W38" s="104">
        <v>1415</v>
      </c>
      <c r="X38" s="104">
        <v>750</v>
      </c>
      <c r="Y38" s="25" t="s">
        <v>40</v>
      </c>
      <c r="Z38" s="9" t="s">
        <v>40</v>
      </c>
      <c r="AA38" s="9" t="s">
        <v>40</v>
      </c>
      <c r="AB38" s="78">
        <f t="shared" si="5"/>
        <v>4996</v>
      </c>
      <c r="AC38" s="127"/>
      <c r="AD38" s="2" t="s">
        <v>34</v>
      </c>
      <c r="AE38" s="2" t="s">
        <v>12</v>
      </c>
      <c r="AF38" s="58">
        <v>4996</v>
      </c>
      <c r="AG38" s="58">
        <f xml:space="preserve"> AB38</f>
        <v>4996</v>
      </c>
      <c r="AH38" s="58">
        <f t="shared" ref="AH38:AH39" si="7" xml:space="preserve"> AF38</f>
        <v>4996</v>
      </c>
      <c r="AI38" s="25" t="s">
        <v>40</v>
      </c>
      <c r="AJ38" s="25" t="s">
        <v>40</v>
      </c>
      <c r="AK38" s="25" t="s">
        <v>40</v>
      </c>
      <c r="AL38" s="25" t="s">
        <v>40</v>
      </c>
      <c r="AM38" s="78">
        <f t="shared" si="3"/>
        <v>14988</v>
      </c>
    </row>
    <row r="39" spans="1:41" x14ac:dyDescent="0.25">
      <c r="A39" s="21"/>
      <c r="B39" s="2" t="s">
        <v>14</v>
      </c>
      <c r="C39" s="2" t="s">
        <v>12</v>
      </c>
      <c r="D39" s="2" t="s">
        <v>101</v>
      </c>
      <c r="E39" s="2" t="s">
        <v>24</v>
      </c>
      <c r="F39" s="2" t="s">
        <v>46</v>
      </c>
      <c r="G39" s="68" t="s">
        <v>150</v>
      </c>
      <c r="H39" s="2" t="s">
        <v>32</v>
      </c>
      <c r="I39" s="2" t="s">
        <v>39</v>
      </c>
      <c r="J39" s="62">
        <v>3.5</v>
      </c>
      <c r="K39" s="2" t="s">
        <v>43</v>
      </c>
      <c r="L39" s="6" t="s">
        <v>71</v>
      </c>
      <c r="M39" s="6" t="s">
        <v>50</v>
      </c>
      <c r="N39" s="6">
        <v>0.5</v>
      </c>
      <c r="O39" s="25">
        <v>6210</v>
      </c>
      <c r="P39" s="25">
        <v>0</v>
      </c>
      <c r="Q39" s="25">
        <v>2656</v>
      </c>
      <c r="R39" s="8">
        <f t="shared" si="2"/>
        <v>0</v>
      </c>
      <c r="S39" s="116">
        <v>1163000</v>
      </c>
      <c r="T39" s="116">
        <v>13247</v>
      </c>
      <c r="U39" s="58">
        <f xml:space="preserve"> Q39 / 2</f>
        <v>1328</v>
      </c>
      <c r="V39" s="58">
        <f xml:space="preserve"> Q39 / 2</f>
        <v>1328</v>
      </c>
      <c r="W39" s="104">
        <v>1328</v>
      </c>
      <c r="X39" s="104">
        <v>750</v>
      </c>
      <c r="Y39" s="25" t="s">
        <v>40</v>
      </c>
      <c r="Z39" s="9" t="s">
        <v>40</v>
      </c>
      <c r="AA39" s="9" t="s">
        <v>40</v>
      </c>
      <c r="AB39" s="78">
        <f t="shared" si="5"/>
        <v>4734</v>
      </c>
      <c r="AC39" s="127"/>
      <c r="AD39" s="2" t="s">
        <v>14</v>
      </c>
      <c r="AE39" s="2" t="s">
        <v>12</v>
      </c>
      <c r="AF39" s="58">
        <v>4734</v>
      </c>
      <c r="AG39" s="58">
        <f xml:space="preserve"> AB39</f>
        <v>4734</v>
      </c>
      <c r="AH39" s="58">
        <f t="shared" si="7"/>
        <v>4734</v>
      </c>
      <c r="AI39" s="25" t="s">
        <v>40</v>
      </c>
      <c r="AJ39" s="25" t="s">
        <v>40</v>
      </c>
      <c r="AK39" s="25" t="s">
        <v>40</v>
      </c>
      <c r="AL39" s="25" t="s">
        <v>40</v>
      </c>
      <c r="AM39" s="78">
        <f t="shared" si="3"/>
        <v>14202</v>
      </c>
    </row>
    <row r="40" spans="1:41" x14ac:dyDescent="0.25">
      <c r="A40" s="21"/>
      <c r="B40" s="2" t="s">
        <v>14</v>
      </c>
      <c r="C40" s="2" t="s">
        <v>13</v>
      </c>
      <c r="D40" s="2" t="s">
        <v>102</v>
      </c>
      <c r="E40" s="2" t="s">
        <v>24</v>
      </c>
      <c r="F40" s="2" t="s">
        <v>46</v>
      </c>
      <c r="G40" s="68" t="s">
        <v>150</v>
      </c>
      <c r="H40" s="2" t="s">
        <v>40</v>
      </c>
      <c r="I40" s="2" t="s">
        <v>40</v>
      </c>
      <c r="J40" s="2" t="s">
        <v>40</v>
      </c>
      <c r="K40" s="2" t="s">
        <v>42</v>
      </c>
      <c r="L40" s="6" t="s">
        <v>71</v>
      </c>
      <c r="M40" s="6" t="s">
        <v>50</v>
      </c>
      <c r="N40" s="6">
        <v>0.5</v>
      </c>
      <c r="O40" s="25">
        <v>7538</v>
      </c>
      <c r="P40" s="25">
        <v>4539</v>
      </c>
      <c r="Q40" s="25">
        <v>4557</v>
      </c>
      <c r="R40" s="8">
        <f t="shared" si="2"/>
        <v>0.60214911117007164</v>
      </c>
      <c r="S40" s="116">
        <v>1578000</v>
      </c>
      <c r="T40" s="116">
        <v>17973</v>
      </c>
      <c r="U40" s="58">
        <f xml:space="preserve"> P40</f>
        <v>4539</v>
      </c>
      <c r="V40" s="58">
        <f>Q40</f>
        <v>4557</v>
      </c>
      <c r="W40" s="25" t="s">
        <v>40</v>
      </c>
      <c r="X40" s="25" t="s">
        <v>40</v>
      </c>
      <c r="Y40" s="25" t="s">
        <v>40</v>
      </c>
      <c r="Z40" s="9" t="s">
        <v>40</v>
      </c>
      <c r="AA40" s="9" t="s">
        <v>40</v>
      </c>
      <c r="AB40" s="78">
        <f t="shared" si="5"/>
        <v>9096</v>
      </c>
      <c r="AC40" s="127"/>
      <c r="AD40" s="2" t="s">
        <v>14</v>
      </c>
      <c r="AE40" s="2" t="s">
        <v>13</v>
      </c>
      <c r="AF40" s="58">
        <v>4539</v>
      </c>
      <c r="AG40" s="58">
        <v>4539</v>
      </c>
      <c r="AH40" s="25">
        <f>+AG40/2</f>
        <v>2269.5</v>
      </c>
      <c r="AI40" s="25" t="s">
        <v>40</v>
      </c>
      <c r="AJ40" s="25" t="s">
        <v>40</v>
      </c>
      <c r="AK40" s="25" t="s">
        <v>40</v>
      </c>
      <c r="AL40" s="25" t="s">
        <v>40</v>
      </c>
      <c r="AM40" s="78">
        <f t="shared" si="3"/>
        <v>11347.5</v>
      </c>
    </row>
    <row r="41" spans="1:41" x14ac:dyDescent="0.25">
      <c r="A41" s="21"/>
      <c r="B41" s="2" t="s">
        <v>174</v>
      </c>
      <c r="C41" s="2" t="s">
        <v>66</v>
      </c>
      <c r="D41" s="2" t="s">
        <v>103</v>
      </c>
      <c r="E41" s="2" t="s">
        <v>24</v>
      </c>
      <c r="F41" s="2" t="s">
        <v>46</v>
      </c>
      <c r="G41" s="68" t="s">
        <v>150</v>
      </c>
      <c r="H41" s="2" t="s">
        <v>40</v>
      </c>
      <c r="I41" s="2" t="s">
        <v>40</v>
      </c>
      <c r="J41" s="2" t="s">
        <v>40</v>
      </c>
      <c r="K41" s="2" t="s">
        <v>42</v>
      </c>
      <c r="L41" s="6" t="s">
        <v>71</v>
      </c>
      <c r="M41" s="6" t="s">
        <v>50</v>
      </c>
      <c r="N41" s="6">
        <v>0.5</v>
      </c>
      <c r="O41" s="25">
        <v>5616</v>
      </c>
      <c r="P41" s="25">
        <v>0</v>
      </c>
      <c r="Q41" s="25">
        <v>9001</v>
      </c>
      <c r="R41" s="8">
        <f t="shared" si="2"/>
        <v>0</v>
      </c>
      <c r="S41" s="116">
        <v>3257000</v>
      </c>
      <c r="T41" s="116">
        <v>37097</v>
      </c>
      <c r="U41" s="58">
        <f xml:space="preserve"> Q41 / 3</f>
        <v>3000.3333333333335</v>
      </c>
      <c r="V41" s="58">
        <f xml:space="preserve"> U41</f>
        <v>3000.3333333333335</v>
      </c>
      <c r="W41" s="58">
        <f xml:space="preserve"> U41</f>
        <v>3000.3333333333335</v>
      </c>
      <c r="X41" s="25" t="s">
        <v>40</v>
      </c>
      <c r="Y41" s="25" t="s">
        <v>40</v>
      </c>
      <c r="Z41" s="9" t="s">
        <v>40</v>
      </c>
      <c r="AA41" s="9" t="s">
        <v>40</v>
      </c>
      <c r="AB41" s="78">
        <f t="shared" ref="AB41:AB42" si="8">SUM(U41:AA41)</f>
        <v>9001</v>
      </c>
      <c r="AC41" s="127"/>
      <c r="AD41" s="2" t="s">
        <v>174</v>
      </c>
      <c r="AE41" s="2" t="s">
        <v>66</v>
      </c>
      <c r="AF41" s="58">
        <v>3000.3333333333335</v>
      </c>
      <c r="AG41" s="58">
        <v>3000.3333333333335</v>
      </c>
      <c r="AH41" s="58">
        <f>+AG41/2</f>
        <v>1500.1666666666667</v>
      </c>
      <c r="AI41" s="25" t="s">
        <v>40</v>
      </c>
      <c r="AJ41" s="25" t="s">
        <v>40</v>
      </c>
      <c r="AK41" s="25" t="s">
        <v>40</v>
      </c>
      <c r="AL41" s="25" t="s">
        <v>40</v>
      </c>
      <c r="AM41" s="78">
        <f t="shared" ref="AM41" si="9">SUM(AF41:AL41)</f>
        <v>7500.8333333333339</v>
      </c>
    </row>
    <row r="42" spans="1:41" x14ac:dyDescent="0.25">
      <c r="A42" s="21"/>
      <c r="B42" s="58">
        <v>41</v>
      </c>
      <c r="C42" s="2" t="s">
        <v>13</v>
      </c>
      <c r="D42" s="2" t="s">
        <v>104</v>
      </c>
      <c r="E42" s="2" t="s">
        <v>26</v>
      </c>
      <c r="F42" s="2" t="s">
        <v>29</v>
      </c>
      <c r="G42" s="57">
        <v>2.5</v>
      </c>
      <c r="H42" s="2" t="s">
        <v>40</v>
      </c>
      <c r="I42" s="2" t="s">
        <v>40</v>
      </c>
      <c r="J42" s="2" t="s">
        <v>40</v>
      </c>
      <c r="K42" s="2" t="s">
        <v>41</v>
      </c>
      <c r="L42" s="10" t="s">
        <v>47</v>
      </c>
      <c r="M42" s="10" t="s">
        <v>56</v>
      </c>
      <c r="N42" s="10">
        <v>0.23300000000000001</v>
      </c>
      <c r="O42" s="25">
        <v>7000</v>
      </c>
      <c r="P42" s="25">
        <v>1584</v>
      </c>
      <c r="Q42" s="99" t="s">
        <v>40</v>
      </c>
      <c r="R42" s="8">
        <f t="shared" si="2"/>
        <v>0.22628571428571428</v>
      </c>
      <c r="S42" s="25" t="s">
        <v>40</v>
      </c>
      <c r="T42" s="25" t="s">
        <v>40</v>
      </c>
      <c r="U42" s="25" t="s">
        <v>40</v>
      </c>
      <c r="V42" s="25" t="s">
        <v>40</v>
      </c>
      <c r="W42" s="25" t="s">
        <v>40</v>
      </c>
      <c r="X42" s="25" t="s">
        <v>40</v>
      </c>
      <c r="Y42" s="25" t="s">
        <v>40</v>
      </c>
      <c r="Z42" s="9" t="s">
        <v>40</v>
      </c>
      <c r="AA42" s="9" t="s">
        <v>40</v>
      </c>
      <c r="AB42" s="78">
        <f t="shared" si="8"/>
        <v>0</v>
      </c>
      <c r="AC42" s="127"/>
      <c r="AD42" s="58">
        <v>41</v>
      </c>
      <c r="AE42" s="2" t="s">
        <v>13</v>
      </c>
      <c r="AF42" s="25" t="s">
        <v>40</v>
      </c>
      <c r="AG42" s="25" t="s">
        <v>40</v>
      </c>
      <c r="AH42" s="25" t="s">
        <v>40</v>
      </c>
      <c r="AI42" s="25" t="s">
        <v>40</v>
      </c>
      <c r="AJ42" s="25" t="s">
        <v>40</v>
      </c>
      <c r="AK42" s="25" t="s">
        <v>40</v>
      </c>
      <c r="AL42" s="25" t="s">
        <v>40</v>
      </c>
      <c r="AM42" s="78">
        <f t="shared" si="3"/>
        <v>0</v>
      </c>
      <c r="AO42" s="20" t="s">
        <v>127</v>
      </c>
    </row>
    <row r="43" spans="1:41" x14ac:dyDescent="0.25">
      <c r="A43" s="21"/>
      <c r="B43" s="60">
        <v>51</v>
      </c>
      <c r="C43" s="52" t="s">
        <v>13</v>
      </c>
      <c r="D43" s="52" t="s">
        <v>105</v>
      </c>
      <c r="E43" s="52" t="s">
        <v>26</v>
      </c>
      <c r="F43" s="52" t="s">
        <v>29</v>
      </c>
      <c r="G43" s="59">
        <v>2.5</v>
      </c>
      <c r="H43" s="52" t="s">
        <v>36</v>
      </c>
      <c r="I43" s="52" t="s">
        <v>37</v>
      </c>
      <c r="J43" s="60">
        <v>3</v>
      </c>
      <c r="K43" s="52" t="s">
        <v>41</v>
      </c>
      <c r="L43" s="53" t="s">
        <v>47</v>
      </c>
      <c r="M43" s="53" t="s">
        <v>56</v>
      </c>
      <c r="N43" s="53">
        <v>0.23300000000000001</v>
      </c>
      <c r="O43" s="56">
        <v>6052</v>
      </c>
      <c r="P43" s="56">
        <v>0</v>
      </c>
      <c r="Q43" s="56">
        <v>2208</v>
      </c>
      <c r="R43" s="55">
        <f t="shared" si="2"/>
        <v>0</v>
      </c>
      <c r="S43" s="106" t="s">
        <v>40</v>
      </c>
      <c r="T43" s="106" t="s">
        <v>40</v>
      </c>
      <c r="U43" s="106" t="s">
        <v>40</v>
      </c>
      <c r="V43" s="106" t="s">
        <v>40</v>
      </c>
      <c r="W43" s="106" t="s">
        <v>40</v>
      </c>
      <c r="X43" s="56" t="s">
        <v>40</v>
      </c>
      <c r="Y43" s="56" t="s">
        <v>40</v>
      </c>
      <c r="Z43" s="54" t="s">
        <v>40</v>
      </c>
      <c r="AA43" s="54" t="s">
        <v>40</v>
      </c>
      <c r="AB43" s="91">
        <f t="shared" si="5"/>
        <v>0</v>
      </c>
      <c r="AC43" s="127"/>
      <c r="AD43" s="60">
        <v>51</v>
      </c>
      <c r="AE43" s="52" t="s">
        <v>13</v>
      </c>
      <c r="AF43" s="56" t="s">
        <v>40</v>
      </c>
      <c r="AG43" s="56" t="s">
        <v>40</v>
      </c>
      <c r="AH43" s="56" t="s">
        <v>40</v>
      </c>
      <c r="AI43" s="56" t="s">
        <v>40</v>
      </c>
      <c r="AJ43" s="56" t="s">
        <v>40</v>
      </c>
      <c r="AK43" s="56" t="s">
        <v>40</v>
      </c>
      <c r="AL43" s="56" t="s">
        <v>40</v>
      </c>
      <c r="AM43" s="91">
        <f t="shared" si="3"/>
        <v>0</v>
      </c>
      <c r="AO43" s="20" t="s">
        <v>130</v>
      </c>
    </row>
    <row r="44" spans="1:41" x14ac:dyDescent="0.25">
      <c r="A44" s="21"/>
      <c r="B44" s="60">
        <v>55</v>
      </c>
      <c r="C44" s="52" t="s">
        <v>13</v>
      </c>
      <c r="D44" s="52" t="s">
        <v>106</v>
      </c>
      <c r="E44" s="52" t="s">
        <v>26</v>
      </c>
      <c r="F44" s="52" t="s">
        <v>29</v>
      </c>
      <c r="G44" s="59">
        <v>2.5</v>
      </c>
      <c r="H44" s="52" t="s">
        <v>36</v>
      </c>
      <c r="I44" s="52" t="s">
        <v>37</v>
      </c>
      <c r="J44" s="60">
        <v>3</v>
      </c>
      <c r="K44" s="52" t="s">
        <v>41</v>
      </c>
      <c r="L44" s="53" t="s">
        <v>47</v>
      </c>
      <c r="M44" s="53" t="s">
        <v>56</v>
      </c>
      <c r="N44" s="53">
        <v>0.23300000000000001</v>
      </c>
      <c r="O44" s="56">
        <v>5897</v>
      </c>
      <c r="P44" s="56">
        <v>0</v>
      </c>
      <c r="Q44" s="56">
        <v>2056</v>
      </c>
      <c r="R44" s="55">
        <f t="shared" si="2"/>
        <v>0</v>
      </c>
      <c r="S44" s="106" t="s">
        <v>40</v>
      </c>
      <c r="T44" s="106" t="s">
        <v>40</v>
      </c>
      <c r="U44" s="106" t="s">
        <v>40</v>
      </c>
      <c r="V44" s="106" t="s">
        <v>40</v>
      </c>
      <c r="W44" s="106" t="s">
        <v>40</v>
      </c>
      <c r="X44" s="56" t="s">
        <v>40</v>
      </c>
      <c r="Y44" s="56" t="s">
        <v>40</v>
      </c>
      <c r="Z44" s="54" t="s">
        <v>40</v>
      </c>
      <c r="AA44" s="54" t="s">
        <v>40</v>
      </c>
      <c r="AB44" s="91">
        <f t="shared" si="5"/>
        <v>0</v>
      </c>
      <c r="AC44" s="127"/>
      <c r="AD44" s="60">
        <v>55</v>
      </c>
      <c r="AE44" s="52" t="s">
        <v>13</v>
      </c>
      <c r="AF44" s="56" t="s">
        <v>40</v>
      </c>
      <c r="AG44" s="56" t="s">
        <v>40</v>
      </c>
      <c r="AH44" s="56" t="s">
        <v>40</v>
      </c>
      <c r="AI44" s="56" t="s">
        <v>40</v>
      </c>
      <c r="AJ44" s="56" t="s">
        <v>40</v>
      </c>
      <c r="AK44" s="56" t="s">
        <v>40</v>
      </c>
      <c r="AL44" s="56" t="s">
        <v>40</v>
      </c>
      <c r="AM44" s="91">
        <f t="shared" si="3"/>
        <v>0</v>
      </c>
      <c r="AO44" s="20" t="s">
        <v>130</v>
      </c>
    </row>
    <row r="45" spans="1:41" x14ac:dyDescent="0.25">
      <c r="A45" s="21"/>
      <c r="B45" s="60">
        <v>63</v>
      </c>
      <c r="C45" s="52" t="s">
        <v>13</v>
      </c>
      <c r="D45" s="52" t="s">
        <v>107</v>
      </c>
      <c r="E45" s="52" t="s">
        <v>26</v>
      </c>
      <c r="F45" s="52" t="s">
        <v>29</v>
      </c>
      <c r="G45" s="59">
        <v>2.5</v>
      </c>
      <c r="H45" s="52" t="s">
        <v>36</v>
      </c>
      <c r="I45" s="52" t="s">
        <v>37</v>
      </c>
      <c r="J45" s="60">
        <v>3</v>
      </c>
      <c r="K45" s="52" t="s">
        <v>41</v>
      </c>
      <c r="L45" s="53" t="s">
        <v>47</v>
      </c>
      <c r="M45" s="53" t="s">
        <v>56</v>
      </c>
      <c r="N45" s="53">
        <v>0.23300000000000001</v>
      </c>
      <c r="O45" s="56">
        <v>5500</v>
      </c>
      <c r="P45" s="56">
        <v>0</v>
      </c>
      <c r="Q45" s="56">
        <v>1470</v>
      </c>
      <c r="R45" s="55">
        <f t="shared" si="2"/>
        <v>0</v>
      </c>
      <c r="S45" s="106" t="s">
        <v>40</v>
      </c>
      <c r="T45" s="106" t="s">
        <v>40</v>
      </c>
      <c r="U45" s="106" t="s">
        <v>40</v>
      </c>
      <c r="V45" s="106" t="s">
        <v>40</v>
      </c>
      <c r="W45" s="106" t="s">
        <v>40</v>
      </c>
      <c r="X45" s="56" t="s">
        <v>40</v>
      </c>
      <c r="Y45" s="56" t="s">
        <v>40</v>
      </c>
      <c r="Z45" s="54" t="s">
        <v>40</v>
      </c>
      <c r="AA45" s="54" t="s">
        <v>40</v>
      </c>
      <c r="AB45" s="91">
        <f t="shared" si="5"/>
        <v>0</v>
      </c>
      <c r="AC45" s="127"/>
      <c r="AD45" s="60">
        <v>63</v>
      </c>
      <c r="AE45" s="52" t="s">
        <v>13</v>
      </c>
      <c r="AF45" s="56" t="s">
        <v>40</v>
      </c>
      <c r="AG45" s="56" t="s">
        <v>40</v>
      </c>
      <c r="AH45" s="56" t="s">
        <v>40</v>
      </c>
      <c r="AI45" s="56" t="s">
        <v>40</v>
      </c>
      <c r="AJ45" s="56" t="s">
        <v>40</v>
      </c>
      <c r="AK45" s="56" t="s">
        <v>40</v>
      </c>
      <c r="AL45" s="56" t="s">
        <v>40</v>
      </c>
      <c r="AM45" s="91">
        <f t="shared" si="3"/>
        <v>0</v>
      </c>
      <c r="AO45" s="20" t="s">
        <v>130</v>
      </c>
    </row>
    <row r="46" spans="1:41" x14ac:dyDescent="0.25">
      <c r="A46" s="21"/>
      <c r="B46" s="60">
        <v>67</v>
      </c>
      <c r="C46" s="52" t="s">
        <v>13</v>
      </c>
      <c r="D46" s="52" t="s">
        <v>108</v>
      </c>
      <c r="E46" s="52" t="s">
        <v>26</v>
      </c>
      <c r="F46" s="52" t="s">
        <v>29</v>
      </c>
      <c r="G46" s="59">
        <v>2.5</v>
      </c>
      <c r="H46" s="52" t="s">
        <v>36</v>
      </c>
      <c r="I46" s="52" t="s">
        <v>37</v>
      </c>
      <c r="J46" s="60">
        <v>3</v>
      </c>
      <c r="K46" s="52" t="s">
        <v>41</v>
      </c>
      <c r="L46" s="53" t="s">
        <v>47</v>
      </c>
      <c r="M46" s="53" t="s">
        <v>56</v>
      </c>
      <c r="N46" s="53">
        <v>0.23300000000000001</v>
      </c>
      <c r="O46" s="56">
        <v>6300</v>
      </c>
      <c r="P46" s="56">
        <v>0</v>
      </c>
      <c r="Q46" s="56">
        <v>1869</v>
      </c>
      <c r="R46" s="55">
        <f t="shared" si="2"/>
        <v>0</v>
      </c>
      <c r="S46" s="106" t="s">
        <v>40</v>
      </c>
      <c r="T46" s="106" t="s">
        <v>40</v>
      </c>
      <c r="U46" s="106" t="s">
        <v>40</v>
      </c>
      <c r="V46" s="106" t="s">
        <v>40</v>
      </c>
      <c r="W46" s="106" t="s">
        <v>40</v>
      </c>
      <c r="X46" s="56" t="s">
        <v>40</v>
      </c>
      <c r="Y46" s="56" t="s">
        <v>40</v>
      </c>
      <c r="Z46" s="54" t="s">
        <v>40</v>
      </c>
      <c r="AA46" s="54" t="s">
        <v>40</v>
      </c>
      <c r="AB46" s="91">
        <f t="shared" si="5"/>
        <v>0</v>
      </c>
      <c r="AC46" s="127"/>
      <c r="AD46" s="60">
        <v>67</v>
      </c>
      <c r="AE46" s="52" t="s">
        <v>13</v>
      </c>
      <c r="AF46" s="56" t="s">
        <v>40</v>
      </c>
      <c r="AG46" s="56" t="s">
        <v>40</v>
      </c>
      <c r="AH46" s="56" t="s">
        <v>40</v>
      </c>
      <c r="AI46" s="56" t="s">
        <v>40</v>
      </c>
      <c r="AJ46" s="56" t="s">
        <v>40</v>
      </c>
      <c r="AK46" s="56" t="s">
        <v>40</v>
      </c>
      <c r="AL46" s="56" t="s">
        <v>40</v>
      </c>
      <c r="AM46" s="91">
        <f t="shared" si="3"/>
        <v>0</v>
      </c>
      <c r="AO46" s="20" t="s">
        <v>130</v>
      </c>
    </row>
    <row r="47" spans="1:41" x14ac:dyDescent="0.25">
      <c r="A47" s="21"/>
      <c r="B47" s="2" t="s">
        <v>16</v>
      </c>
      <c r="C47" s="2" t="s">
        <v>15</v>
      </c>
      <c r="D47" s="2" t="s">
        <v>109</v>
      </c>
      <c r="E47" s="2" t="s">
        <v>27</v>
      </c>
      <c r="F47" s="2" t="s">
        <v>30</v>
      </c>
      <c r="G47" s="57">
        <v>2.5</v>
      </c>
      <c r="H47" s="2" t="s">
        <v>40</v>
      </c>
      <c r="I47" s="2" t="s">
        <v>40</v>
      </c>
      <c r="J47" s="2" t="s">
        <v>40</v>
      </c>
      <c r="K47" s="2" t="s">
        <v>41</v>
      </c>
      <c r="L47" s="10" t="s">
        <v>47</v>
      </c>
      <c r="M47" s="10" t="s">
        <v>57</v>
      </c>
      <c r="N47" s="10">
        <v>0.121</v>
      </c>
      <c r="O47" s="25">
        <v>5704</v>
      </c>
      <c r="P47" s="25">
        <v>0</v>
      </c>
      <c r="Q47" s="25">
        <v>2812</v>
      </c>
      <c r="R47" s="8">
        <f t="shared" si="2"/>
        <v>0</v>
      </c>
      <c r="S47" s="25" t="s">
        <v>40</v>
      </c>
      <c r="T47" s="25" t="s">
        <v>40</v>
      </c>
      <c r="U47" s="25" t="s">
        <v>40</v>
      </c>
      <c r="V47" s="25" t="s">
        <v>40</v>
      </c>
      <c r="W47" s="25" t="s">
        <v>40</v>
      </c>
      <c r="X47" s="25" t="s">
        <v>40</v>
      </c>
      <c r="Y47" s="25" t="s">
        <v>40</v>
      </c>
      <c r="Z47" s="9" t="s">
        <v>40</v>
      </c>
      <c r="AA47" s="9" t="s">
        <v>40</v>
      </c>
      <c r="AB47" s="78">
        <f t="shared" si="5"/>
        <v>0</v>
      </c>
      <c r="AC47" s="26"/>
      <c r="AD47" s="2" t="s">
        <v>16</v>
      </c>
      <c r="AE47" s="2" t="s">
        <v>15</v>
      </c>
      <c r="AF47" s="25" t="s">
        <v>40</v>
      </c>
      <c r="AG47" s="25" t="s">
        <v>40</v>
      </c>
      <c r="AH47" s="25" t="s">
        <v>40</v>
      </c>
      <c r="AI47" s="25" t="s">
        <v>40</v>
      </c>
      <c r="AJ47" s="25" t="s">
        <v>40</v>
      </c>
      <c r="AK47" s="25" t="s">
        <v>40</v>
      </c>
      <c r="AL47" s="25" t="s">
        <v>40</v>
      </c>
      <c r="AM47" s="78">
        <f t="shared" si="3"/>
        <v>0</v>
      </c>
      <c r="AO47" s="20" t="s">
        <v>131</v>
      </c>
    </row>
    <row r="48" spans="1:41" x14ac:dyDescent="0.25">
      <c r="A48" s="21"/>
      <c r="B48" s="2" t="s">
        <v>17</v>
      </c>
      <c r="C48" s="2" t="s">
        <v>15</v>
      </c>
      <c r="D48" s="2" t="s">
        <v>110</v>
      </c>
      <c r="E48" s="2" t="s">
        <v>27</v>
      </c>
      <c r="F48" s="2" t="s">
        <v>30</v>
      </c>
      <c r="G48" s="57">
        <v>2.5</v>
      </c>
      <c r="H48" s="2" t="s">
        <v>40</v>
      </c>
      <c r="I48" s="2" t="s">
        <v>40</v>
      </c>
      <c r="J48" s="2" t="s">
        <v>40</v>
      </c>
      <c r="K48" s="2" t="s">
        <v>41</v>
      </c>
      <c r="L48" s="10" t="s">
        <v>47</v>
      </c>
      <c r="M48" s="10" t="s">
        <v>57</v>
      </c>
      <c r="N48" s="10">
        <v>0.121</v>
      </c>
      <c r="O48" s="25">
        <v>5325</v>
      </c>
      <c r="P48" s="25">
        <v>0</v>
      </c>
      <c r="Q48" s="25">
        <v>2250</v>
      </c>
      <c r="R48" s="8">
        <f t="shared" si="2"/>
        <v>0</v>
      </c>
      <c r="S48" s="25" t="s">
        <v>40</v>
      </c>
      <c r="T48" s="25" t="s">
        <v>40</v>
      </c>
      <c r="U48" s="25" t="s">
        <v>40</v>
      </c>
      <c r="V48" s="25" t="s">
        <v>40</v>
      </c>
      <c r="W48" s="25" t="s">
        <v>40</v>
      </c>
      <c r="X48" s="25" t="s">
        <v>40</v>
      </c>
      <c r="Y48" s="25" t="s">
        <v>40</v>
      </c>
      <c r="Z48" s="9" t="s">
        <v>40</v>
      </c>
      <c r="AA48" s="9" t="s">
        <v>40</v>
      </c>
      <c r="AB48" s="78">
        <f t="shared" si="5"/>
        <v>0</v>
      </c>
      <c r="AC48" s="26"/>
      <c r="AD48" s="2" t="s">
        <v>17</v>
      </c>
      <c r="AE48" s="2" t="s">
        <v>15</v>
      </c>
      <c r="AF48" s="25" t="s">
        <v>40</v>
      </c>
      <c r="AG48" s="25" t="s">
        <v>40</v>
      </c>
      <c r="AH48" s="25" t="s">
        <v>40</v>
      </c>
      <c r="AI48" s="25" t="s">
        <v>40</v>
      </c>
      <c r="AJ48" s="25" t="s">
        <v>40</v>
      </c>
      <c r="AK48" s="25" t="s">
        <v>40</v>
      </c>
      <c r="AL48" s="25" t="s">
        <v>40</v>
      </c>
      <c r="AM48" s="78">
        <f t="shared" si="3"/>
        <v>0</v>
      </c>
      <c r="AO48" s="20" t="s">
        <v>131</v>
      </c>
    </row>
    <row r="49" spans="1:46" x14ac:dyDescent="0.25">
      <c r="A49" s="21"/>
      <c r="B49" s="2" t="s">
        <v>18</v>
      </c>
      <c r="C49" s="2" t="s">
        <v>15</v>
      </c>
      <c r="D49" s="2" t="s">
        <v>111</v>
      </c>
      <c r="E49" s="2" t="s">
        <v>27</v>
      </c>
      <c r="F49" s="2" t="s">
        <v>30</v>
      </c>
      <c r="G49" s="57">
        <v>2.5</v>
      </c>
      <c r="H49" s="2" t="s">
        <v>40</v>
      </c>
      <c r="I49" s="2" t="s">
        <v>40</v>
      </c>
      <c r="J49" s="2" t="s">
        <v>40</v>
      </c>
      <c r="K49" s="2" t="s">
        <v>41</v>
      </c>
      <c r="L49" s="10" t="s">
        <v>47</v>
      </c>
      <c r="M49" s="10" t="s">
        <v>57</v>
      </c>
      <c r="N49" s="10">
        <v>0.121</v>
      </c>
      <c r="O49" s="25">
        <v>5040</v>
      </c>
      <c r="P49" s="25">
        <v>0</v>
      </c>
      <c r="Q49" s="25">
        <v>2258</v>
      </c>
      <c r="R49" s="8">
        <f t="shared" si="2"/>
        <v>0</v>
      </c>
      <c r="S49" s="25" t="s">
        <v>40</v>
      </c>
      <c r="T49" s="25" t="s">
        <v>40</v>
      </c>
      <c r="U49" s="25" t="s">
        <v>40</v>
      </c>
      <c r="V49" s="25" t="s">
        <v>40</v>
      </c>
      <c r="W49" s="25" t="s">
        <v>40</v>
      </c>
      <c r="X49" s="25" t="s">
        <v>40</v>
      </c>
      <c r="Y49" s="25" t="s">
        <v>40</v>
      </c>
      <c r="Z49" s="9" t="s">
        <v>40</v>
      </c>
      <c r="AA49" s="9" t="s">
        <v>40</v>
      </c>
      <c r="AB49" s="78">
        <f t="shared" si="5"/>
        <v>0</v>
      </c>
      <c r="AC49" s="26"/>
      <c r="AD49" s="2" t="s">
        <v>18</v>
      </c>
      <c r="AE49" s="2" t="s">
        <v>15</v>
      </c>
      <c r="AF49" s="25" t="s">
        <v>40</v>
      </c>
      <c r="AG49" s="25" t="s">
        <v>40</v>
      </c>
      <c r="AH49" s="25" t="s">
        <v>40</v>
      </c>
      <c r="AI49" s="25" t="s">
        <v>40</v>
      </c>
      <c r="AJ49" s="25" t="s">
        <v>40</v>
      </c>
      <c r="AK49" s="25" t="s">
        <v>40</v>
      </c>
      <c r="AL49" s="25" t="s">
        <v>40</v>
      </c>
      <c r="AM49" s="78">
        <f t="shared" si="3"/>
        <v>0</v>
      </c>
      <c r="AO49" s="20" t="s">
        <v>131</v>
      </c>
    </row>
    <row r="50" spans="1:46" x14ac:dyDescent="0.25">
      <c r="A50" s="21"/>
      <c r="B50" s="58">
        <v>18</v>
      </c>
      <c r="C50" s="2" t="s">
        <v>121</v>
      </c>
      <c r="D50" s="2" t="s">
        <v>122</v>
      </c>
      <c r="E50" s="2" t="s">
        <v>26</v>
      </c>
      <c r="F50" s="2" t="s">
        <v>29</v>
      </c>
      <c r="G50" s="57">
        <v>2.5</v>
      </c>
      <c r="H50" s="2" t="s">
        <v>40</v>
      </c>
      <c r="I50" s="2" t="s">
        <v>40</v>
      </c>
      <c r="J50" s="2" t="s">
        <v>40</v>
      </c>
      <c r="K50" s="2" t="s">
        <v>42</v>
      </c>
      <c r="L50" s="6" t="s">
        <v>71</v>
      </c>
      <c r="M50" s="6" t="s">
        <v>50</v>
      </c>
      <c r="N50" s="6">
        <v>0.5</v>
      </c>
      <c r="O50" s="25">
        <v>9543</v>
      </c>
      <c r="P50" s="25">
        <v>7944</v>
      </c>
      <c r="Q50" s="99" t="s">
        <v>40</v>
      </c>
      <c r="R50" s="8">
        <v>0</v>
      </c>
      <c r="S50" s="116">
        <v>1732000</v>
      </c>
      <c r="T50" s="116">
        <v>19727</v>
      </c>
      <c r="U50" s="58">
        <f xml:space="preserve"> P50 / 3</f>
        <v>2648</v>
      </c>
      <c r="V50" s="58">
        <v>2648</v>
      </c>
      <c r="W50" s="58">
        <v>2648</v>
      </c>
      <c r="X50" s="25" t="s">
        <v>40</v>
      </c>
      <c r="Y50" s="25" t="s">
        <v>40</v>
      </c>
      <c r="Z50" s="9" t="s">
        <v>40</v>
      </c>
      <c r="AA50" s="9" t="s">
        <v>40</v>
      </c>
      <c r="AB50" s="78">
        <f t="shared" si="5"/>
        <v>7944</v>
      </c>
      <c r="AC50" s="26"/>
      <c r="AD50" s="58">
        <v>18</v>
      </c>
      <c r="AE50" s="2" t="s">
        <v>121</v>
      </c>
      <c r="AF50" s="58">
        <v>2648</v>
      </c>
      <c r="AG50" s="58">
        <v>2648</v>
      </c>
      <c r="AH50" s="58">
        <f>+AG50/2</f>
        <v>1324</v>
      </c>
      <c r="AI50" s="58" t="s">
        <v>40</v>
      </c>
      <c r="AJ50" s="25" t="s">
        <v>40</v>
      </c>
      <c r="AK50" s="25" t="s">
        <v>40</v>
      </c>
      <c r="AL50" s="25" t="s">
        <v>40</v>
      </c>
      <c r="AM50" s="78">
        <f t="shared" si="3"/>
        <v>6620</v>
      </c>
      <c r="AO50" s="20" t="s">
        <v>125</v>
      </c>
    </row>
    <row r="51" spans="1:46" x14ac:dyDescent="0.25">
      <c r="M51" s="69" t="s">
        <v>146</v>
      </c>
      <c r="N51" s="70"/>
      <c r="O51" s="71">
        <f>SUM(O4:O50)</f>
        <v>573545</v>
      </c>
      <c r="P51" s="71">
        <f>SUM(P4:P50)</f>
        <v>275300</v>
      </c>
      <c r="Q51" s="71">
        <f>SUM(Q24:Q50)</f>
        <v>46961</v>
      </c>
      <c r="R51" s="70"/>
      <c r="S51" s="122">
        <f t="shared" ref="S51:X51" si="10">SUM(S4:S50)</f>
        <v>104471000</v>
      </c>
      <c r="T51" s="122">
        <f t="shared" si="10"/>
        <v>1110057</v>
      </c>
      <c r="U51" s="71">
        <f t="shared" si="10"/>
        <v>235309.33333333334</v>
      </c>
      <c r="V51" s="71">
        <f t="shared" si="10"/>
        <v>219385.83333333334</v>
      </c>
      <c r="W51" s="71">
        <f t="shared" si="10"/>
        <v>81932.333333333328</v>
      </c>
      <c r="X51" s="71">
        <f t="shared" si="10"/>
        <v>16825</v>
      </c>
      <c r="Y51" s="72"/>
      <c r="Z51" s="72"/>
      <c r="AA51" s="72"/>
      <c r="AB51" s="71">
        <f>SUM(AB4:AB50)</f>
        <v>553452.5</v>
      </c>
      <c r="AC51" s="26"/>
      <c r="AD51" s="26"/>
      <c r="AE51" s="26" t="s">
        <v>202</v>
      </c>
      <c r="AF51" s="67">
        <f>SUM(AF4:AF50)</f>
        <v>261320.33333333334</v>
      </c>
      <c r="AG51" s="67">
        <f t="shared" ref="AG51:AK51" si="11">SUM(AG4:AG50)</f>
        <v>259564.33333333334</v>
      </c>
      <c r="AH51" s="67">
        <f t="shared" si="11"/>
        <v>227818.16666666666</v>
      </c>
      <c r="AI51" s="67">
        <f t="shared" si="11"/>
        <v>90683</v>
      </c>
      <c r="AJ51" s="67">
        <f t="shared" si="11"/>
        <v>44000</v>
      </c>
      <c r="AK51" s="67">
        <f t="shared" si="11"/>
        <v>0</v>
      </c>
      <c r="AL51" s="67">
        <v>0</v>
      </c>
      <c r="AM51" s="67">
        <f>SUM(AF51:AK51)</f>
        <v>883385.83333333337</v>
      </c>
    </row>
    <row r="52" spans="1:46" x14ac:dyDescent="0.25">
      <c r="M52" s="69" t="s">
        <v>147</v>
      </c>
      <c r="N52" s="70"/>
      <c r="O52" s="71">
        <f>O51-O53</f>
        <v>493532</v>
      </c>
      <c r="P52" s="71">
        <f t="shared" ref="P52:Q52" si="12">P51-P53</f>
        <v>275300</v>
      </c>
      <c r="Q52" s="71">
        <f t="shared" si="12"/>
        <v>39358</v>
      </c>
      <c r="R52" s="70"/>
      <c r="S52" s="70"/>
      <c r="T52" s="70"/>
      <c r="U52" s="71">
        <f>+U4+U5+U7+U8+U19+U27+U33+U34+U35+U36+U38+U39</f>
        <v>44050</v>
      </c>
      <c r="V52" s="71">
        <f>+V4+V5+V7+V8+V19+V27+V33+V34+V35+V36+V38+V39</f>
        <v>44528.5</v>
      </c>
      <c r="W52" s="71">
        <f>+W4+W5+W7+W8+W19+W27+W33+W34+W38+W39</f>
        <v>38205</v>
      </c>
      <c r="X52" s="71">
        <f>SUM(X4:X50)</f>
        <v>16825</v>
      </c>
      <c r="Y52" s="70"/>
      <c r="Z52" s="70"/>
      <c r="AA52" s="70"/>
      <c r="AB52" s="71">
        <f>SUM(U52:X52)</f>
        <v>143608.5</v>
      </c>
    </row>
    <row r="53" spans="1:46" x14ac:dyDescent="0.25">
      <c r="I53" s="15" t="s">
        <v>125</v>
      </c>
      <c r="M53" s="69" t="s">
        <v>148</v>
      </c>
      <c r="N53" s="70"/>
      <c r="O53" s="71">
        <f>SUM(O43:O46)+O37</f>
        <v>80013</v>
      </c>
      <c r="P53" s="71">
        <f t="shared" ref="P53:Q53" si="13">SUM(P43:P46)+P37</f>
        <v>0</v>
      </c>
      <c r="Q53" s="71">
        <f t="shared" si="13"/>
        <v>7603</v>
      </c>
      <c r="R53" s="70"/>
      <c r="S53" s="70"/>
      <c r="T53" s="70"/>
      <c r="U53" s="71">
        <v>0</v>
      </c>
      <c r="V53" s="71">
        <v>0</v>
      </c>
      <c r="W53" s="71">
        <v>0</v>
      </c>
      <c r="X53" s="71">
        <v>0</v>
      </c>
      <c r="Y53" s="70"/>
      <c r="Z53" s="70"/>
      <c r="AA53" s="70"/>
      <c r="AB53" s="71">
        <f>SUM(U53:X53)</f>
        <v>0</v>
      </c>
      <c r="AF53" s="26" t="s">
        <v>139</v>
      </c>
      <c r="AG53" s="26" t="s">
        <v>191</v>
      </c>
      <c r="AH53" s="26" t="s">
        <v>140</v>
      </c>
      <c r="AN53" s="189"/>
      <c r="AO53" s="189"/>
      <c r="AP53" s="190"/>
      <c r="AQ53" s="190"/>
      <c r="AR53" s="190"/>
      <c r="AS53" s="190"/>
      <c r="AT53" s="190"/>
    </row>
    <row r="54" spans="1:46" x14ac:dyDescent="0.25">
      <c r="AE54" s="76" t="s">
        <v>141</v>
      </c>
      <c r="AF54" s="58">
        <f>SUM(AF51:AG51)-220000</f>
        <v>300884.66666666669</v>
      </c>
      <c r="AG54" s="58">
        <f>SUM(AF51:AG51)-44000</f>
        <v>476884.66666666669</v>
      </c>
      <c r="AH54" s="58">
        <v>707385.83333333337</v>
      </c>
      <c r="AI54" s="124"/>
      <c r="AJ54" s="125"/>
      <c r="AK54" s="125"/>
      <c r="AL54" s="125"/>
      <c r="AM54" s="125"/>
      <c r="AN54" s="189"/>
      <c r="AO54" s="189"/>
      <c r="AP54" s="191"/>
      <c r="AQ54" s="190"/>
      <c r="AR54" s="190"/>
      <c r="AS54" s="190"/>
      <c r="AT54" s="190"/>
    </row>
    <row r="55" spans="1:46" x14ac:dyDescent="0.25">
      <c r="B55" s="123" t="s">
        <v>67</v>
      </c>
      <c r="AE55" s="76" t="s">
        <v>142</v>
      </c>
      <c r="AF55" s="58">
        <v>0</v>
      </c>
      <c r="AG55" s="58">
        <v>230501</v>
      </c>
      <c r="AH55" s="58">
        <v>274501.16666666663</v>
      </c>
      <c r="AI55" s="20" t="s">
        <v>192</v>
      </c>
      <c r="AN55" s="189"/>
      <c r="AO55" s="189"/>
      <c r="AP55" s="191"/>
      <c r="AQ55" s="190"/>
      <c r="AR55" s="190"/>
      <c r="AS55" s="190"/>
      <c r="AT55" s="190"/>
    </row>
    <row r="56" spans="1:46" x14ac:dyDescent="0.25">
      <c r="AE56" s="76" t="s">
        <v>143</v>
      </c>
      <c r="AF56" s="58">
        <v>0</v>
      </c>
      <c r="AG56" s="58">
        <f>44000*4</f>
        <v>176000</v>
      </c>
      <c r="AH56" s="58">
        <v>176000</v>
      </c>
      <c r="AI56" s="20" t="s">
        <v>177</v>
      </c>
      <c r="AN56" s="189"/>
      <c r="AO56" s="189"/>
      <c r="AP56" s="191"/>
      <c r="AQ56" s="190"/>
      <c r="AR56" s="190"/>
      <c r="AS56" s="190"/>
      <c r="AT56" s="190"/>
    </row>
    <row r="57" spans="1:46" x14ac:dyDescent="0.25">
      <c r="M57" s="179"/>
      <c r="N57" s="177" t="s">
        <v>154</v>
      </c>
      <c r="O57" s="130">
        <f>P51+Q51</f>
        <v>322261</v>
      </c>
      <c r="AG57" s="67">
        <f t="shared" ref="AG57" si="14">SUM(AG54:AG56)</f>
        <v>883385.66666666674</v>
      </c>
      <c r="AN57" s="189"/>
      <c r="AO57" s="189"/>
      <c r="AP57" s="191"/>
      <c r="AQ57" s="190"/>
      <c r="AR57" s="190"/>
      <c r="AS57" s="190"/>
      <c r="AT57" s="190"/>
    </row>
    <row r="58" spans="1:46" x14ac:dyDescent="0.25">
      <c r="M58" s="2"/>
      <c r="N58" s="177" t="s">
        <v>155</v>
      </c>
      <c r="O58" s="130">
        <f>AB51</f>
        <v>553452.5</v>
      </c>
      <c r="AN58" s="189"/>
      <c r="AO58" s="189"/>
      <c r="AP58" s="192"/>
      <c r="AQ58" s="190"/>
      <c r="AR58" s="190"/>
      <c r="AS58" s="190"/>
      <c r="AT58" s="190"/>
    </row>
    <row r="59" spans="1:46" x14ac:dyDescent="0.25">
      <c r="M59" s="2"/>
      <c r="N59" s="177" t="s">
        <v>156</v>
      </c>
      <c r="O59" s="130">
        <f>AG134</f>
        <v>1099511.6666666667</v>
      </c>
      <c r="AG59" s="107" t="s">
        <v>171</v>
      </c>
      <c r="AN59" s="189"/>
      <c r="AO59" s="189"/>
      <c r="AP59" s="190"/>
      <c r="AQ59" s="190"/>
      <c r="AR59" s="190"/>
      <c r="AS59" s="190"/>
      <c r="AT59" s="190"/>
    </row>
    <row r="60" spans="1:46" x14ac:dyDescent="0.25">
      <c r="M60" s="2"/>
      <c r="N60" s="177" t="s">
        <v>157</v>
      </c>
      <c r="O60" s="178" t="s">
        <v>158</v>
      </c>
      <c r="AG60" s="76" t="s">
        <v>162</v>
      </c>
      <c r="AH60" s="76" t="s">
        <v>163</v>
      </c>
      <c r="AI60" s="76" t="s">
        <v>168</v>
      </c>
      <c r="AJ60" s="76" t="s">
        <v>60</v>
      </c>
      <c r="AK60" s="76" t="s">
        <v>164</v>
      </c>
      <c r="AL60" s="76" t="s">
        <v>169</v>
      </c>
      <c r="AM60" s="76" t="s">
        <v>170</v>
      </c>
    </row>
    <row r="61" spans="1:46" x14ac:dyDescent="0.25">
      <c r="AG61" s="2" t="s">
        <v>159</v>
      </c>
      <c r="AH61" s="2" t="s">
        <v>165</v>
      </c>
      <c r="AI61" s="58">
        <v>135</v>
      </c>
      <c r="AJ61" s="58">
        <f>AI61*500</f>
        <v>67500</v>
      </c>
      <c r="AK61" s="58">
        <f>+AI61*1.2</f>
        <v>162</v>
      </c>
      <c r="AL61" s="109">
        <v>7500</v>
      </c>
      <c r="AM61" s="111">
        <f>AK61*AL61</f>
        <v>1215000</v>
      </c>
    </row>
    <row r="62" spans="1:46" x14ac:dyDescent="0.25">
      <c r="AG62" s="2" t="s">
        <v>160</v>
      </c>
      <c r="AH62" s="2" t="s">
        <v>166</v>
      </c>
      <c r="AI62" s="58">
        <v>135</v>
      </c>
      <c r="AJ62" s="58">
        <f>AI62*1000</f>
        <v>135000</v>
      </c>
      <c r="AK62" s="58">
        <f>+AI62*1.2</f>
        <v>162</v>
      </c>
      <c r="AL62" s="109">
        <v>7500</v>
      </c>
      <c r="AM62" s="111">
        <f t="shared" ref="AM62:AM63" si="15">AK62*AL62</f>
        <v>1215000</v>
      </c>
    </row>
    <row r="63" spans="1:46" x14ac:dyDescent="0.25">
      <c r="AG63" s="2" t="s">
        <v>161</v>
      </c>
      <c r="AH63" s="2" t="s">
        <v>167</v>
      </c>
      <c r="AI63" s="58">
        <v>37</v>
      </c>
      <c r="AJ63" s="58">
        <f>AI63*1250</f>
        <v>46250</v>
      </c>
      <c r="AK63" s="58">
        <f>+AI63*2</f>
        <v>74</v>
      </c>
      <c r="AL63" s="109">
        <v>7500</v>
      </c>
      <c r="AM63" s="111">
        <f t="shared" si="15"/>
        <v>555000</v>
      </c>
    </row>
    <row r="64" spans="1:46" x14ac:dyDescent="0.25">
      <c r="AH64" s="108"/>
      <c r="AI64" s="67">
        <v>307</v>
      </c>
      <c r="AJ64" s="67">
        <f>SUM(AJ61:AJ63)</f>
        <v>248750</v>
      </c>
      <c r="AK64" s="67">
        <f>SUM(AK61:AK63)</f>
        <v>398</v>
      </c>
      <c r="AL64" s="110">
        <v>7500</v>
      </c>
      <c r="AM64" s="112">
        <f>SUM(AM61:AM63)</f>
        <v>2985000</v>
      </c>
    </row>
    <row r="65" spans="3:47" x14ac:dyDescent="0.25">
      <c r="AL65" s="26" t="s">
        <v>172</v>
      </c>
      <c r="AM65" s="112">
        <f>AM64/2</f>
        <v>1492500</v>
      </c>
    </row>
    <row r="66" spans="3:47" x14ac:dyDescent="0.25">
      <c r="AG66" s="131" t="s">
        <v>194</v>
      </c>
    </row>
    <row r="67" spans="3:47" x14ac:dyDescent="0.25">
      <c r="AG67" s="131" t="s">
        <v>195</v>
      </c>
    </row>
    <row r="68" spans="3:47" x14ac:dyDescent="0.25">
      <c r="AE68" s="20"/>
      <c r="AF68" s="107"/>
      <c r="AG68" s="131" t="s">
        <v>196</v>
      </c>
    </row>
    <row r="69" spans="3:47" x14ac:dyDescent="0.25">
      <c r="AF69" s="132"/>
      <c r="AG69" s="131" t="s">
        <v>193</v>
      </c>
    </row>
    <row r="70" spans="3:47" x14ac:dyDescent="0.25">
      <c r="AF70" s="131"/>
      <c r="AG70" s="131" t="s">
        <v>197</v>
      </c>
    </row>
    <row r="71" spans="3:47" x14ac:dyDescent="0.25">
      <c r="AF71" s="131"/>
      <c r="AG71" s="131" t="s">
        <v>199</v>
      </c>
    </row>
    <row r="72" spans="3:47" x14ac:dyDescent="0.25">
      <c r="AF72" s="132"/>
      <c r="AG72" s="131" t="s">
        <v>198</v>
      </c>
    </row>
    <row r="73" spans="3:47" x14ac:dyDescent="0.25">
      <c r="AF73" s="131"/>
      <c r="AG73" s="131"/>
    </row>
    <row r="74" spans="3:47" x14ac:dyDescent="0.25">
      <c r="AF74" s="131"/>
      <c r="AG74" s="131"/>
    </row>
    <row r="78" spans="3:47" ht="75" customHeight="1" thickBot="1" x14ac:dyDescent="0.3">
      <c r="AD78" s="14"/>
      <c r="AE78" s="14"/>
      <c r="AF78" s="24" t="s">
        <v>123</v>
      </c>
      <c r="AG78" s="14"/>
      <c r="AH78" s="14"/>
      <c r="AI78" s="14"/>
      <c r="AJ78" s="14"/>
      <c r="AK78" s="14"/>
      <c r="AL78" s="14"/>
      <c r="AM78" s="14"/>
      <c r="AN78" s="22"/>
      <c r="AO78" s="22"/>
    </row>
    <row r="79" spans="3:47" ht="16.5" thickTop="1" x14ac:dyDescent="0.25">
      <c r="C79" s="140"/>
      <c r="AD79" s="92"/>
      <c r="AE79" s="93"/>
      <c r="AF79" s="94" t="s">
        <v>120</v>
      </c>
      <c r="AG79" s="94" t="s">
        <v>120</v>
      </c>
      <c r="AH79" s="94" t="s">
        <v>120</v>
      </c>
      <c r="AI79" s="94" t="s">
        <v>120</v>
      </c>
      <c r="AJ79" s="94" t="s">
        <v>120</v>
      </c>
      <c r="AK79" s="94" t="s">
        <v>120</v>
      </c>
      <c r="AL79" s="94" t="s">
        <v>120</v>
      </c>
      <c r="AM79" s="94" t="s">
        <v>120</v>
      </c>
      <c r="AN79" s="20" t="s">
        <v>125</v>
      </c>
      <c r="AO79" s="183" t="s">
        <v>129</v>
      </c>
      <c r="AP79" s="186"/>
      <c r="AQ79" s="186"/>
      <c r="AR79" s="186"/>
      <c r="AS79" s="186"/>
      <c r="AT79" s="186"/>
      <c r="AU79" s="185"/>
    </row>
    <row r="80" spans="3:47" ht="16.5" thickBot="1" x14ac:dyDescent="0.3">
      <c r="C80" s="140"/>
      <c r="AD80" s="95" t="s">
        <v>0</v>
      </c>
      <c r="AE80" s="96" t="s">
        <v>1</v>
      </c>
      <c r="AF80" s="96" t="s">
        <v>112</v>
      </c>
      <c r="AG80" s="96" t="s">
        <v>113</v>
      </c>
      <c r="AH80" s="96" t="s">
        <v>114</v>
      </c>
      <c r="AI80" s="96" t="s">
        <v>115</v>
      </c>
      <c r="AJ80" s="96" t="s">
        <v>116</v>
      </c>
      <c r="AK80" s="96" t="s">
        <v>117</v>
      </c>
      <c r="AL80" s="96" t="s">
        <v>118</v>
      </c>
      <c r="AM80" s="96" t="s">
        <v>119</v>
      </c>
      <c r="AO80" s="184" t="s">
        <v>125</v>
      </c>
      <c r="AP80" s="188"/>
      <c r="AQ80" s="188"/>
      <c r="AR80" s="188"/>
      <c r="AS80" s="188"/>
      <c r="AT80" s="188"/>
      <c r="AU80" s="187"/>
    </row>
    <row r="81" spans="3:41" ht="15.75" thickTop="1" x14ac:dyDescent="0.25">
      <c r="C81" s="141"/>
      <c r="AD81" s="34">
        <v>2</v>
      </c>
      <c r="AE81" s="1" t="s">
        <v>2</v>
      </c>
      <c r="AF81" s="34">
        <v>5582</v>
      </c>
      <c r="AG81" s="34">
        <v>5582</v>
      </c>
      <c r="AH81" s="34">
        <v>5582</v>
      </c>
      <c r="AI81" s="79">
        <f xml:space="preserve"> AH81 / 2</f>
        <v>2791</v>
      </c>
      <c r="AJ81" s="9" t="s">
        <v>40</v>
      </c>
      <c r="AK81" s="9" t="s">
        <v>40</v>
      </c>
      <c r="AL81" s="9" t="s">
        <v>40</v>
      </c>
      <c r="AM81" s="78">
        <f t="shared" ref="AM81:AM93" si="16">SUM(AF81:AL81)</f>
        <v>19537</v>
      </c>
    </row>
    <row r="82" spans="3:41" x14ac:dyDescent="0.25">
      <c r="C82" s="142"/>
      <c r="AD82" s="2" t="s">
        <v>65</v>
      </c>
      <c r="AE82" s="2" t="s">
        <v>2</v>
      </c>
      <c r="AF82" s="58">
        <v>5652</v>
      </c>
      <c r="AG82" s="58">
        <v>5652</v>
      </c>
      <c r="AH82" s="58">
        <v>5652</v>
      </c>
      <c r="AI82" s="77">
        <v>5652</v>
      </c>
      <c r="AJ82" s="25" t="s">
        <v>40</v>
      </c>
      <c r="AK82" s="25" t="s">
        <v>40</v>
      </c>
      <c r="AL82" s="25" t="s">
        <v>40</v>
      </c>
      <c r="AM82" s="78">
        <f t="shared" si="16"/>
        <v>22608</v>
      </c>
    </row>
    <row r="83" spans="3:41" x14ac:dyDescent="0.25">
      <c r="C83" s="142"/>
      <c r="AD83" s="2" t="s">
        <v>6</v>
      </c>
      <c r="AE83" s="2" t="s">
        <v>2</v>
      </c>
      <c r="AF83" s="58">
        <v>5726</v>
      </c>
      <c r="AG83" s="58">
        <v>4000</v>
      </c>
      <c r="AH83" s="58">
        <v>4000</v>
      </c>
      <c r="AI83" s="79">
        <f t="shared" ref="AI83" si="17" xml:space="preserve"> AH83 / 2</f>
        <v>2000</v>
      </c>
      <c r="AJ83" s="25" t="s">
        <v>40</v>
      </c>
      <c r="AK83" s="25" t="s">
        <v>40</v>
      </c>
      <c r="AL83" s="25" t="s">
        <v>40</v>
      </c>
      <c r="AM83" s="78">
        <f t="shared" si="16"/>
        <v>15726</v>
      </c>
    </row>
    <row r="84" spans="3:41" x14ac:dyDescent="0.25">
      <c r="C84" s="142"/>
      <c r="AD84" s="2" t="s">
        <v>3</v>
      </c>
      <c r="AE84" s="2" t="s">
        <v>2</v>
      </c>
      <c r="AF84" s="58">
        <v>3718</v>
      </c>
      <c r="AG84" s="58">
        <v>3718</v>
      </c>
      <c r="AH84" s="58">
        <v>3718</v>
      </c>
      <c r="AI84" s="77">
        <v>3718</v>
      </c>
      <c r="AJ84" s="25" t="s">
        <v>40</v>
      </c>
      <c r="AK84" s="25" t="s">
        <v>40</v>
      </c>
      <c r="AL84" s="25" t="s">
        <v>40</v>
      </c>
      <c r="AM84" s="78">
        <f t="shared" si="16"/>
        <v>14872</v>
      </c>
    </row>
    <row r="85" spans="3:41" x14ac:dyDescent="0.25">
      <c r="C85" s="142"/>
      <c r="AD85" s="2" t="s">
        <v>4</v>
      </c>
      <c r="AE85" s="2" t="s">
        <v>2</v>
      </c>
      <c r="AF85" s="58">
        <v>6708</v>
      </c>
      <c r="AG85" s="58">
        <v>6708</v>
      </c>
      <c r="AH85" s="58">
        <v>6708</v>
      </c>
      <c r="AI85" s="77">
        <v>6708</v>
      </c>
      <c r="AJ85" s="25" t="s">
        <v>40</v>
      </c>
      <c r="AK85" s="25" t="s">
        <v>40</v>
      </c>
      <c r="AL85" s="25" t="s">
        <v>40</v>
      </c>
      <c r="AM85" s="78">
        <f t="shared" si="16"/>
        <v>26832</v>
      </c>
    </row>
    <row r="86" spans="3:41" x14ac:dyDescent="0.25">
      <c r="C86" s="142"/>
      <c r="AD86" s="2" t="s">
        <v>61</v>
      </c>
      <c r="AE86" s="2" t="s">
        <v>2</v>
      </c>
      <c r="AF86" s="58">
        <v>1400</v>
      </c>
      <c r="AG86" s="58">
        <v>1370</v>
      </c>
      <c r="AH86" s="58">
        <v>1370</v>
      </c>
      <c r="AI86" s="79">
        <f t="shared" ref="AI86" si="18" xml:space="preserve"> AH86 / 2</f>
        <v>685</v>
      </c>
      <c r="AJ86" s="25" t="s">
        <v>40</v>
      </c>
      <c r="AK86" s="25" t="s">
        <v>40</v>
      </c>
      <c r="AL86" s="25" t="s">
        <v>40</v>
      </c>
      <c r="AM86" s="78">
        <f t="shared" si="16"/>
        <v>4825</v>
      </c>
    </row>
    <row r="87" spans="3:41" x14ac:dyDescent="0.25">
      <c r="C87" s="142"/>
      <c r="AD87" s="2" t="s">
        <v>5</v>
      </c>
      <c r="AE87" s="2" t="s">
        <v>2</v>
      </c>
      <c r="AF87" s="58">
        <v>17092</v>
      </c>
      <c r="AG87" s="58">
        <v>17092</v>
      </c>
      <c r="AH87" s="58">
        <v>17092</v>
      </c>
      <c r="AI87" s="77">
        <v>17092</v>
      </c>
      <c r="AJ87" s="25" t="s">
        <v>40</v>
      </c>
      <c r="AK87" s="25" t="s">
        <v>40</v>
      </c>
      <c r="AL87" s="25" t="s">
        <v>40</v>
      </c>
      <c r="AM87" s="78">
        <f t="shared" si="16"/>
        <v>68368</v>
      </c>
    </row>
    <row r="88" spans="3:41" x14ac:dyDescent="0.25">
      <c r="C88" s="141"/>
      <c r="AD88" s="58">
        <v>50</v>
      </c>
      <c r="AE88" s="2" t="s">
        <v>2</v>
      </c>
      <c r="AF88" s="58">
        <v>3467</v>
      </c>
      <c r="AG88" s="58">
        <v>3467</v>
      </c>
      <c r="AH88" s="58">
        <v>3467</v>
      </c>
      <c r="AI88" s="79">
        <f t="shared" ref="AI88:AI92" si="19" xml:space="preserve"> AH88 / 2</f>
        <v>1733.5</v>
      </c>
      <c r="AJ88" s="25" t="s">
        <v>40</v>
      </c>
      <c r="AK88" s="25" t="s">
        <v>40</v>
      </c>
      <c r="AL88" s="25" t="s">
        <v>40</v>
      </c>
      <c r="AM88" s="78">
        <f t="shared" si="16"/>
        <v>12134.5</v>
      </c>
    </row>
    <row r="89" spans="3:41" x14ac:dyDescent="0.25">
      <c r="C89" s="142"/>
      <c r="AD89" s="2" t="s">
        <v>7</v>
      </c>
      <c r="AE89" s="2" t="s">
        <v>2</v>
      </c>
      <c r="AF89" s="58">
        <v>3762</v>
      </c>
      <c r="AG89" s="58">
        <v>3762</v>
      </c>
      <c r="AH89" s="58">
        <v>3762</v>
      </c>
      <c r="AI89" s="79">
        <f t="shared" si="19"/>
        <v>1881</v>
      </c>
      <c r="AJ89" s="25" t="s">
        <v>40</v>
      </c>
      <c r="AK89" s="25" t="s">
        <v>40</v>
      </c>
      <c r="AL89" s="25" t="s">
        <v>40</v>
      </c>
      <c r="AM89" s="78">
        <f t="shared" si="16"/>
        <v>13167</v>
      </c>
    </row>
    <row r="90" spans="3:41" x14ac:dyDescent="0.25">
      <c r="C90" s="141"/>
      <c r="AD90" s="58">
        <v>66</v>
      </c>
      <c r="AE90" s="2" t="s">
        <v>2</v>
      </c>
      <c r="AF90" s="58">
        <v>2755</v>
      </c>
      <c r="AG90" s="58">
        <v>2755</v>
      </c>
      <c r="AH90" s="58">
        <v>2755</v>
      </c>
      <c r="AI90" s="79">
        <f t="shared" si="19"/>
        <v>1377.5</v>
      </c>
      <c r="AJ90" s="25" t="s">
        <v>40</v>
      </c>
      <c r="AK90" s="25" t="s">
        <v>40</v>
      </c>
      <c r="AL90" s="25" t="s">
        <v>40</v>
      </c>
      <c r="AM90" s="78">
        <f t="shared" si="16"/>
        <v>9642.5</v>
      </c>
    </row>
    <row r="91" spans="3:41" x14ac:dyDescent="0.25">
      <c r="C91" s="141"/>
      <c r="AD91" s="58">
        <v>68</v>
      </c>
      <c r="AE91" s="2" t="s">
        <v>2</v>
      </c>
      <c r="AF91" s="58">
        <v>2755</v>
      </c>
      <c r="AG91" s="58">
        <v>2755</v>
      </c>
      <c r="AH91" s="58">
        <v>2755</v>
      </c>
      <c r="AI91" s="79">
        <f t="shared" si="19"/>
        <v>1377.5</v>
      </c>
      <c r="AJ91" s="25" t="s">
        <v>40</v>
      </c>
      <c r="AK91" s="25" t="s">
        <v>40</v>
      </c>
      <c r="AL91" s="25" t="s">
        <v>40</v>
      </c>
      <c r="AM91" s="78">
        <f t="shared" si="16"/>
        <v>9642.5</v>
      </c>
    </row>
    <row r="92" spans="3:41" x14ac:dyDescent="0.25">
      <c r="C92" s="141"/>
      <c r="AD92" s="58">
        <v>72</v>
      </c>
      <c r="AE92" s="2" t="s">
        <v>2</v>
      </c>
      <c r="AF92" s="58">
        <v>3385</v>
      </c>
      <c r="AG92" s="58">
        <v>3385</v>
      </c>
      <c r="AH92" s="58">
        <v>3385</v>
      </c>
      <c r="AI92" s="79">
        <f t="shared" si="19"/>
        <v>1692.5</v>
      </c>
      <c r="AJ92" s="25" t="s">
        <v>40</v>
      </c>
      <c r="AK92" s="25" t="s">
        <v>40</v>
      </c>
      <c r="AL92" s="25" t="s">
        <v>40</v>
      </c>
      <c r="AM92" s="78">
        <f t="shared" si="16"/>
        <v>11847.5</v>
      </c>
    </row>
    <row r="93" spans="3:41" x14ac:dyDescent="0.25">
      <c r="C93" s="142"/>
      <c r="AD93" s="2" t="s">
        <v>64</v>
      </c>
      <c r="AE93" s="2" t="s">
        <v>2</v>
      </c>
      <c r="AF93" s="58">
        <v>59510</v>
      </c>
      <c r="AG93" s="58">
        <v>59510</v>
      </c>
      <c r="AH93" s="58">
        <v>59510</v>
      </c>
      <c r="AI93" s="77">
        <v>59510</v>
      </c>
      <c r="AJ93" s="25" t="s">
        <v>40</v>
      </c>
      <c r="AK93" s="25" t="s">
        <v>40</v>
      </c>
      <c r="AL93" s="25" t="s">
        <v>40</v>
      </c>
      <c r="AM93" s="78">
        <f t="shared" si="16"/>
        <v>238040</v>
      </c>
      <c r="AO93" s="20" t="s">
        <v>132</v>
      </c>
    </row>
    <row r="94" spans="3:41" x14ac:dyDescent="0.25">
      <c r="C94" s="141"/>
      <c r="AD94" s="58">
        <v>80</v>
      </c>
      <c r="AE94" s="2" t="s">
        <v>2</v>
      </c>
      <c r="AF94" s="25">
        <v>3175</v>
      </c>
      <c r="AG94" s="25">
        <v>3175</v>
      </c>
      <c r="AH94" s="25">
        <v>3175</v>
      </c>
      <c r="AI94" s="79">
        <f t="shared" ref="AI94" si="20" xml:space="preserve"> AH94 / 2</f>
        <v>1587.5</v>
      </c>
      <c r="AJ94" s="25" t="s">
        <v>40</v>
      </c>
      <c r="AK94" s="25" t="s">
        <v>40</v>
      </c>
      <c r="AL94" s="25" t="s">
        <v>40</v>
      </c>
      <c r="AM94" s="78">
        <f>SUM(AF94:AL94)</f>
        <v>11112.5</v>
      </c>
    </row>
    <row r="95" spans="3:41" x14ac:dyDescent="0.25">
      <c r="C95" s="141"/>
      <c r="AD95" s="58">
        <v>99</v>
      </c>
      <c r="AE95" s="2" t="s">
        <v>2</v>
      </c>
      <c r="AF95" s="58" t="s">
        <v>40</v>
      </c>
      <c r="AG95" s="58" t="s">
        <v>40</v>
      </c>
      <c r="AH95" s="25" t="s">
        <v>40</v>
      </c>
      <c r="AI95" s="25" t="s">
        <v>40</v>
      </c>
      <c r="AJ95" s="25" t="s">
        <v>40</v>
      </c>
      <c r="AK95" s="25" t="s">
        <v>40</v>
      </c>
      <c r="AL95" s="25" t="s">
        <v>40</v>
      </c>
      <c r="AM95" s="78">
        <f t="shared" ref="AM95:AM127" si="21">SUM(AF95:AL95)</f>
        <v>0</v>
      </c>
      <c r="AO95" s="20" t="s">
        <v>127</v>
      </c>
    </row>
    <row r="96" spans="3:41" ht="15.75" thickBot="1" x14ac:dyDescent="0.3">
      <c r="C96" s="141"/>
      <c r="AD96" s="63">
        <v>115</v>
      </c>
      <c r="AE96" s="27" t="s">
        <v>2</v>
      </c>
      <c r="AF96" s="32">
        <v>8190</v>
      </c>
      <c r="AG96" s="32">
        <v>8190</v>
      </c>
      <c r="AH96" s="32">
        <f xml:space="preserve"> AG96 / 2</f>
        <v>4095</v>
      </c>
      <c r="AI96" s="32" t="s">
        <v>40</v>
      </c>
      <c r="AJ96" s="32" t="s">
        <v>40</v>
      </c>
      <c r="AK96" s="32" t="s">
        <v>40</v>
      </c>
      <c r="AL96" s="32" t="s">
        <v>40</v>
      </c>
      <c r="AM96" s="80">
        <f t="shared" si="21"/>
        <v>20475</v>
      </c>
    </row>
    <row r="97" spans="3:41" x14ac:dyDescent="0.25">
      <c r="C97" s="141"/>
      <c r="AD97" s="64">
        <v>365</v>
      </c>
      <c r="AE97" s="40" t="s">
        <v>8</v>
      </c>
      <c r="AF97" s="81">
        <v>16000</v>
      </c>
      <c r="AG97" s="81">
        <v>16000</v>
      </c>
      <c r="AH97" s="81">
        <v>16000</v>
      </c>
      <c r="AI97" s="81">
        <v>16000</v>
      </c>
      <c r="AJ97" s="81">
        <v>16000</v>
      </c>
      <c r="AK97" s="82">
        <v>16000</v>
      </c>
      <c r="AL97" s="49" t="s">
        <v>40</v>
      </c>
      <c r="AM97" s="83">
        <f t="shared" si="21"/>
        <v>96000</v>
      </c>
    </row>
    <row r="98" spans="3:41" x14ac:dyDescent="0.25">
      <c r="C98" s="141"/>
      <c r="AD98" s="65">
        <v>375</v>
      </c>
      <c r="AE98" s="41" t="s">
        <v>8</v>
      </c>
      <c r="AF98" s="84">
        <v>16000</v>
      </c>
      <c r="AG98" s="84">
        <v>16000</v>
      </c>
      <c r="AH98" s="84">
        <v>16000</v>
      </c>
      <c r="AI98" s="84">
        <v>16000</v>
      </c>
      <c r="AJ98" s="84">
        <v>16000</v>
      </c>
      <c r="AK98" s="77">
        <v>16000</v>
      </c>
      <c r="AL98" s="50" t="s">
        <v>40</v>
      </c>
      <c r="AM98" s="85">
        <f t="shared" si="21"/>
        <v>96000</v>
      </c>
    </row>
    <row r="99" spans="3:41" ht="15.75" thickBot="1" x14ac:dyDescent="0.3">
      <c r="C99" s="141"/>
      <c r="AD99" s="66">
        <v>385</v>
      </c>
      <c r="AE99" s="42" t="s">
        <v>8</v>
      </c>
      <c r="AF99" s="86">
        <v>12000</v>
      </c>
      <c r="AG99" s="86">
        <v>12000</v>
      </c>
      <c r="AH99" s="86">
        <v>12000</v>
      </c>
      <c r="AI99" s="86">
        <v>12000</v>
      </c>
      <c r="AJ99" s="86">
        <v>12000</v>
      </c>
      <c r="AK99" s="87">
        <v>12000</v>
      </c>
      <c r="AL99" s="51" t="s">
        <v>40</v>
      </c>
      <c r="AM99" s="88">
        <f t="shared" si="21"/>
        <v>72000</v>
      </c>
    </row>
    <row r="100" spans="3:41" x14ac:dyDescent="0.25">
      <c r="C100" s="141"/>
      <c r="AD100" s="34">
        <v>395</v>
      </c>
      <c r="AE100" s="1" t="s">
        <v>8</v>
      </c>
      <c r="AF100" s="34">
        <v>8200</v>
      </c>
      <c r="AG100" s="34">
        <v>8200</v>
      </c>
      <c r="AH100" s="34">
        <v>8200</v>
      </c>
      <c r="AI100" s="34">
        <v>8200</v>
      </c>
      <c r="AJ100" s="114">
        <v>8200</v>
      </c>
      <c r="AK100" s="25" t="s">
        <v>40</v>
      </c>
      <c r="AL100" s="34"/>
      <c r="AM100" s="89">
        <f t="shared" si="21"/>
        <v>41000</v>
      </c>
    </row>
    <row r="101" spans="3:41" x14ac:dyDescent="0.25">
      <c r="C101" s="141"/>
      <c r="AD101" s="58">
        <v>392</v>
      </c>
      <c r="AE101" s="2" t="s">
        <v>8</v>
      </c>
      <c r="AF101" s="58">
        <v>7200</v>
      </c>
      <c r="AG101" s="58">
        <v>7200</v>
      </c>
      <c r="AH101" s="58">
        <v>7200</v>
      </c>
      <c r="AI101" s="58">
        <v>7200</v>
      </c>
      <c r="AJ101" s="79">
        <v>7200</v>
      </c>
      <c r="AK101" s="25" t="s">
        <v>40</v>
      </c>
      <c r="AL101" s="25" t="s">
        <v>40</v>
      </c>
      <c r="AM101" s="78">
        <f t="shared" si="21"/>
        <v>36000</v>
      </c>
    </row>
    <row r="102" spans="3:41" x14ac:dyDescent="0.25">
      <c r="C102" s="141"/>
      <c r="AD102" s="58">
        <v>396</v>
      </c>
      <c r="AE102" s="2" t="s">
        <v>8</v>
      </c>
      <c r="AF102" s="58">
        <v>7200</v>
      </c>
      <c r="AG102" s="58">
        <v>7200</v>
      </c>
      <c r="AH102" s="58">
        <v>7200</v>
      </c>
      <c r="AI102" s="58">
        <v>7200</v>
      </c>
      <c r="AJ102" s="79">
        <v>7200</v>
      </c>
      <c r="AK102" s="25" t="s">
        <v>40</v>
      </c>
      <c r="AL102" s="25" t="s">
        <v>40</v>
      </c>
      <c r="AM102" s="78">
        <f t="shared" si="21"/>
        <v>36000</v>
      </c>
    </row>
    <row r="103" spans="3:41" x14ac:dyDescent="0.25">
      <c r="C103" s="141"/>
      <c r="AD103" s="58">
        <v>405</v>
      </c>
      <c r="AE103" s="2" t="s">
        <v>8</v>
      </c>
      <c r="AF103" s="58">
        <v>6681</v>
      </c>
      <c r="AG103" s="58">
        <v>6681</v>
      </c>
      <c r="AH103" s="58">
        <v>6681</v>
      </c>
      <c r="AI103" s="25">
        <v>6681</v>
      </c>
      <c r="AJ103" s="79">
        <v>6681</v>
      </c>
      <c r="AK103" s="25" t="s">
        <v>40</v>
      </c>
      <c r="AL103" s="25" t="s">
        <v>40</v>
      </c>
      <c r="AM103" s="78">
        <f t="shared" si="21"/>
        <v>33405</v>
      </c>
    </row>
    <row r="104" spans="3:41" x14ac:dyDescent="0.25">
      <c r="C104" s="141"/>
      <c r="AD104" s="58">
        <v>415</v>
      </c>
      <c r="AE104" s="2" t="s">
        <v>8</v>
      </c>
      <c r="AF104" s="25">
        <v>2787</v>
      </c>
      <c r="AG104" s="25">
        <v>2787</v>
      </c>
      <c r="AH104" s="25">
        <v>2787</v>
      </c>
      <c r="AI104" s="25">
        <v>2787</v>
      </c>
      <c r="AJ104" s="79">
        <v>2787</v>
      </c>
      <c r="AK104" s="25" t="s">
        <v>40</v>
      </c>
      <c r="AL104" s="25" t="s">
        <v>40</v>
      </c>
      <c r="AM104" s="78">
        <f t="shared" si="21"/>
        <v>13935</v>
      </c>
    </row>
    <row r="105" spans="3:41" x14ac:dyDescent="0.25">
      <c r="C105" s="141"/>
      <c r="AD105" s="58">
        <v>434</v>
      </c>
      <c r="AE105" s="2" t="s">
        <v>8</v>
      </c>
      <c r="AF105" s="58">
        <v>3742</v>
      </c>
      <c r="AG105" s="58">
        <v>3742</v>
      </c>
      <c r="AH105" s="25" t="s">
        <v>40</v>
      </c>
      <c r="AI105" s="25" t="s">
        <v>40</v>
      </c>
      <c r="AJ105" s="25" t="s">
        <v>40</v>
      </c>
      <c r="AK105" s="25" t="s">
        <v>40</v>
      </c>
      <c r="AL105" s="25" t="s">
        <v>40</v>
      </c>
      <c r="AM105" s="78">
        <f t="shared" si="21"/>
        <v>7484</v>
      </c>
      <c r="AO105" s="20" t="s">
        <v>133</v>
      </c>
    </row>
    <row r="106" spans="3:41" x14ac:dyDescent="0.25">
      <c r="C106" s="141"/>
      <c r="AD106" s="58">
        <v>436</v>
      </c>
      <c r="AE106" s="2" t="s">
        <v>8</v>
      </c>
      <c r="AF106" s="58">
        <v>3742</v>
      </c>
      <c r="AG106" s="58">
        <v>3742</v>
      </c>
      <c r="AH106" s="25" t="s">
        <v>40</v>
      </c>
      <c r="AI106" s="25" t="s">
        <v>40</v>
      </c>
      <c r="AJ106" s="25" t="s">
        <v>40</v>
      </c>
      <c r="AK106" s="25" t="s">
        <v>40</v>
      </c>
      <c r="AL106" s="25" t="s">
        <v>40</v>
      </c>
      <c r="AM106" s="78">
        <f t="shared" si="21"/>
        <v>7484</v>
      </c>
      <c r="AO106" s="20" t="s">
        <v>133</v>
      </c>
    </row>
    <row r="107" spans="3:41" x14ac:dyDescent="0.25">
      <c r="C107" s="141"/>
      <c r="AD107" s="58">
        <v>438</v>
      </c>
      <c r="AE107" s="2" t="s">
        <v>8</v>
      </c>
      <c r="AF107" s="58">
        <v>4260</v>
      </c>
      <c r="AG107" s="58">
        <v>4260</v>
      </c>
      <c r="AH107" s="58">
        <v>4260</v>
      </c>
      <c r="AI107" s="58">
        <v>4260</v>
      </c>
      <c r="AJ107" s="25" t="s">
        <v>40</v>
      </c>
      <c r="AK107" s="25" t="s">
        <v>40</v>
      </c>
      <c r="AL107" s="25" t="s">
        <v>40</v>
      </c>
      <c r="AM107" s="78">
        <f t="shared" si="21"/>
        <v>17040</v>
      </c>
      <c r="AO107" s="20" t="s">
        <v>133</v>
      </c>
    </row>
    <row r="108" spans="3:41" x14ac:dyDescent="0.25">
      <c r="C108" s="141"/>
      <c r="AD108" s="58">
        <v>440</v>
      </c>
      <c r="AE108" s="2" t="s">
        <v>8</v>
      </c>
      <c r="AF108" s="25">
        <v>2739</v>
      </c>
      <c r="AG108" s="25">
        <v>2739</v>
      </c>
      <c r="AH108" s="25" t="s">
        <v>40</v>
      </c>
      <c r="AI108" s="25" t="s">
        <v>40</v>
      </c>
      <c r="AJ108" s="25" t="s">
        <v>40</v>
      </c>
      <c r="AK108" s="25" t="s">
        <v>40</v>
      </c>
      <c r="AL108" s="25" t="s">
        <v>40</v>
      </c>
      <c r="AM108" s="78">
        <f t="shared" si="21"/>
        <v>5478</v>
      </c>
      <c r="AO108" s="20" t="s">
        <v>133</v>
      </c>
    </row>
    <row r="109" spans="3:41" x14ac:dyDescent="0.25">
      <c r="C109" s="141"/>
      <c r="AD109" s="58">
        <v>450</v>
      </c>
      <c r="AE109" s="2" t="s">
        <v>8</v>
      </c>
      <c r="AF109" s="58">
        <v>4870</v>
      </c>
      <c r="AG109" s="58">
        <v>4870</v>
      </c>
      <c r="AH109" s="58">
        <v>4870</v>
      </c>
      <c r="AI109" s="58">
        <f xml:space="preserve"> AH109 / 2</f>
        <v>2435</v>
      </c>
      <c r="AJ109" s="25" t="s">
        <v>40</v>
      </c>
      <c r="AK109" s="25" t="s">
        <v>40</v>
      </c>
      <c r="AL109" s="25" t="s">
        <v>40</v>
      </c>
      <c r="AM109" s="78">
        <f t="shared" si="21"/>
        <v>17045</v>
      </c>
    </row>
    <row r="110" spans="3:41" x14ac:dyDescent="0.25">
      <c r="C110" s="141"/>
      <c r="AD110" s="58">
        <v>7</v>
      </c>
      <c r="AE110" s="2" t="s">
        <v>9</v>
      </c>
      <c r="AF110" s="58">
        <v>5185</v>
      </c>
      <c r="AG110" s="58">
        <v>5185</v>
      </c>
      <c r="AH110" s="58">
        <v>5185</v>
      </c>
      <c r="AI110" s="25" t="s">
        <v>40</v>
      </c>
      <c r="AJ110" s="25" t="s">
        <v>40</v>
      </c>
      <c r="AK110" s="25" t="s">
        <v>40</v>
      </c>
      <c r="AL110" s="25" t="s">
        <v>40</v>
      </c>
      <c r="AM110" s="78">
        <f t="shared" si="21"/>
        <v>15555</v>
      </c>
    </row>
    <row r="111" spans="3:41" x14ac:dyDescent="0.25">
      <c r="C111" s="142"/>
      <c r="AD111" s="2" t="s">
        <v>33</v>
      </c>
      <c r="AE111" s="2" t="s">
        <v>9</v>
      </c>
      <c r="AF111" s="58">
        <v>2640</v>
      </c>
      <c r="AG111" s="58">
        <v>2640</v>
      </c>
      <c r="AH111" s="58">
        <v>2640</v>
      </c>
      <c r="AI111" s="90">
        <v>2640</v>
      </c>
      <c r="AJ111" s="25" t="s">
        <v>40</v>
      </c>
      <c r="AK111" s="25" t="s">
        <v>40</v>
      </c>
      <c r="AL111" s="25" t="s">
        <v>40</v>
      </c>
      <c r="AM111" s="78">
        <f t="shared" si="21"/>
        <v>10560</v>
      </c>
    </row>
    <row r="112" spans="3:41" x14ac:dyDescent="0.25">
      <c r="C112" s="142"/>
      <c r="AD112" s="2" t="s">
        <v>10</v>
      </c>
      <c r="AE112" s="2" t="s">
        <v>9</v>
      </c>
      <c r="AF112" s="58">
        <v>2640</v>
      </c>
      <c r="AG112" s="58">
        <v>2640</v>
      </c>
      <c r="AH112" s="58">
        <v>2640</v>
      </c>
      <c r="AI112" s="90">
        <v>2640</v>
      </c>
      <c r="AJ112" s="25" t="s">
        <v>40</v>
      </c>
      <c r="AK112" s="25" t="s">
        <v>40</v>
      </c>
      <c r="AL112" s="25" t="s">
        <v>40</v>
      </c>
      <c r="AM112" s="78">
        <f t="shared" si="21"/>
        <v>10560</v>
      </c>
    </row>
    <row r="113" spans="3:41" x14ac:dyDescent="0.25">
      <c r="C113" s="142"/>
      <c r="AD113" s="2" t="s">
        <v>11</v>
      </c>
      <c r="AE113" s="2" t="s">
        <v>9</v>
      </c>
      <c r="AF113" s="58">
        <v>2640</v>
      </c>
      <c r="AG113" s="58">
        <v>2640</v>
      </c>
      <c r="AH113" s="58">
        <v>2640</v>
      </c>
      <c r="AI113" s="90">
        <v>2640</v>
      </c>
      <c r="AJ113" s="25" t="s">
        <v>40</v>
      </c>
      <c r="AK113" s="25" t="s">
        <v>40</v>
      </c>
      <c r="AL113" s="25" t="s">
        <v>40</v>
      </c>
      <c r="AM113" s="78">
        <f t="shared" si="21"/>
        <v>10560</v>
      </c>
    </row>
    <row r="114" spans="3:41" x14ac:dyDescent="0.25">
      <c r="C114" s="141"/>
      <c r="AD114" s="60">
        <v>10</v>
      </c>
      <c r="AE114" s="52" t="s">
        <v>12</v>
      </c>
      <c r="AF114" s="56" t="s">
        <v>40</v>
      </c>
      <c r="AG114" s="56" t="s">
        <v>40</v>
      </c>
      <c r="AH114" s="56" t="s">
        <v>40</v>
      </c>
      <c r="AI114" s="56" t="s">
        <v>40</v>
      </c>
      <c r="AJ114" s="56" t="s">
        <v>40</v>
      </c>
      <c r="AK114" s="56" t="s">
        <v>40</v>
      </c>
      <c r="AL114" s="56" t="s">
        <v>40</v>
      </c>
      <c r="AM114" s="91">
        <f t="shared" si="21"/>
        <v>0</v>
      </c>
      <c r="AO114" s="20" t="s">
        <v>128</v>
      </c>
    </row>
    <row r="115" spans="3:41" x14ac:dyDescent="0.25">
      <c r="C115" s="142"/>
      <c r="AD115" s="2" t="s">
        <v>34</v>
      </c>
      <c r="AE115" s="2" t="s">
        <v>12</v>
      </c>
      <c r="AF115" s="58">
        <v>4996</v>
      </c>
      <c r="AG115" s="58">
        <v>4996</v>
      </c>
      <c r="AH115" s="58">
        <v>4996</v>
      </c>
      <c r="AI115" s="77">
        <f t="shared" ref="AI115:AI116" si="22" xml:space="preserve"> AG115</f>
        <v>4996</v>
      </c>
      <c r="AJ115" s="25" t="s">
        <v>40</v>
      </c>
      <c r="AK115" s="25" t="s">
        <v>40</v>
      </c>
      <c r="AL115" s="25" t="s">
        <v>40</v>
      </c>
      <c r="AM115" s="78">
        <f t="shared" si="21"/>
        <v>19984</v>
      </c>
    </row>
    <row r="116" spans="3:41" x14ac:dyDescent="0.25">
      <c r="C116" s="142"/>
      <c r="AD116" s="2" t="s">
        <v>14</v>
      </c>
      <c r="AE116" s="2" t="s">
        <v>12</v>
      </c>
      <c r="AF116" s="58">
        <v>4734</v>
      </c>
      <c r="AG116" s="58">
        <v>4734</v>
      </c>
      <c r="AH116" s="58">
        <v>4734</v>
      </c>
      <c r="AI116" s="77">
        <f t="shared" si="22"/>
        <v>4734</v>
      </c>
      <c r="AJ116" s="25" t="s">
        <v>40</v>
      </c>
      <c r="AK116" s="25" t="s">
        <v>40</v>
      </c>
      <c r="AL116" s="25" t="s">
        <v>40</v>
      </c>
      <c r="AM116" s="78">
        <f t="shared" si="21"/>
        <v>18936</v>
      </c>
    </row>
    <row r="117" spans="3:41" x14ac:dyDescent="0.25">
      <c r="C117" s="142"/>
      <c r="AD117" s="2" t="s">
        <v>14</v>
      </c>
      <c r="AE117" s="2" t="s">
        <v>13</v>
      </c>
      <c r="AF117" s="58">
        <v>4539</v>
      </c>
      <c r="AG117" s="58">
        <v>4539</v>
      </c>
      <c r="AH117" s="25">
        <v>4539</v>
      </c>
      <c r="AI117" s="79">
        <f>+AH117/2</f>
        <v>2269.5</v>
      </c>
      <c r="AJ117" s="25" t="s">
        <v>40</v>
      </c>
      <c r="AK117" s="25" t="s">
        <v>40</v>
      </c>
      <c r="AL117" s="25" t="s">
        <v>40</v>
      </c>
      <c r="AM117" s="78">
        <f t="shared" si="21"/>
        <v>15886.5</v>
      </c>
    </row>
    <row r="118" spans="3:41" x14ac:dyDescent="0.25">
      <c r="C118" s="142"/>
      <c r="AD118" s="2" t="s">
        <v>174</v>
      </c>
      <c r="AE118" s="2" t="s">
        <v>66</v>
      </c>
      <c r="AF118" s="58">
        <v>3000.3333333333335</v>
      </c>
      <c r="AG118" s="58">
        <v>3000.3333333333335</v>
      </c>
      <c r="AH118" s="58">
        <v>3000.3333333333335</v>
      </c>
      <c r="AI118" s="79">
        <f>+AH118/2</f>
        <v>1500.1666666666667</v>
      </c>
      <c r="AJ118" s="25" t="s">
        <v>40</v>
      </c>
      <c r="AK118" s="25" t="s">
        <v>40</v>
      </c>
      <c r="AL118" s="25" t="s">
        <v>40</v>
      </c>
      <c r="AM118" s="78">
        <f t="shared" si="21"/>
        <v>10501.166666666666</v>
      </c>
    </row>
    <row r="119" spans="3:41" x14ac:dyDescent="0.25">
      <c r="C119" s="141"/>
      <c r="AD119" s="58">
        <v>41</v>
      </c>
      <c r="AE119" s="2" t="s">
        <v>13</v>
      </c>
      <c r="AF119" s="25" t="s">
        <v>40</v>
      </c>
      <c r="AG119" s="25" t="s">
        <v>40</v>
      </c>
      <c r="AH119" s="25" t="s">
        <v>40</v>
      </c>
      <c r="AI119" s="25" t="s">
        <v>40</v>
      </c>
      <c r="AJ119" s="25" t="s">
        <v>40</v>
      </c>
      <c r="AK119" s="25" t="s">
        <v>40</v>
      </c>
      <c r="AL119" s="25" t="s">
        <v>40</v>
      </c>
      <c r="AM119" s="78">
        <f t="shared" si="21"/>
        <v>0</v>
      </c>
      <c r="AO119" s="20" t="s">
        <v>127</v>
      </c>
    </row>
    <row r="120" spans="3:41" x14ac:dyDescent="0.25">
      <c r="C120" s="141"/>
      <c r="AD120" s="60">
        <v>51</v>
      </c>
      <c r="AE120" s="52" t="s">
        <v>13</v>
      </c>
      <c r="AF120" s="56" t="s">
        <v>40</v>
      </c>
      <c r="AG120" s="56" t="s">
        <v>40</v>
      </c>
      <c r="AH120" s="56" t="s">
        <v>40</v>
      </c>
      <c r="AI120" s="56" t="s">
        <v>40</v>
      </c>
      <c r="AJ120" s="56" t="s">
        <v>40</v>
      </c>
      <c r="AK120" s="56" t="s">
        <v>40</v>
      </c>
      <c r="AL120" s="56" t="s">
        <v>40</v>
      </c>
      <c r="AM120" s="91">
        <f t="shared" si="21"/>
        <v>0</v>
      </c>
      <c r="AO120" s="20" t="s">
        <v>130</v>
      </c>
    </row>
    <row r="121" spans="3:41" x14ac:dyDescent="0.25">
      <c r="C121" s="141"/>
      <c r="AD121" s="60">
        <v>55</v>
      </c>
      <c r="AE121" s="52" t="s">
        <v>13</v>
      </c>
      <c r="AF121" s="56" t="s">
        <v>40</v>
      </c>
      <c r="AG121" s="56" t="s">
        <v>40</v>
      </c>
      <c r="AH121" s="56" t="s">
        <v>40</v>
      </c>
      <c r="AI121" s="56" t="s">
        <v>40</v>
      </c>
      <c r="AJ121" s="56" t="s">
        <v>40</v>
      </c>
      <c r="AK121" s="56" t="s">
        <v>40</v>
      </c>
      <c r="AL121" s="56" t="s">
        <v>40</v>
      </c>
      <c r="AM121" s="91">
        <f t="shared" si="21"/>
        <v>0</v>
      </c>
      <c r="AO121" s="20" t="s">
        <v>130</v>
      </c>
    </row>
    <row r="122" spans="3:41" x14ac:dyDescent="0.25">
      <c r="C122" s="141"/>
      <c r="AD122" s="60">
        <v>63</v>
      </c>
      <c r="AE122" s="52" t="s">
        <v>13</v>
      </c>
      <c r="AF122" s="56" t="s">
        <v>40</v>
      </c>
      <c r="AG122" s="56" t="s">
        <v>40</v>
      </c>
      <c r="AH122" s="56" t="s">
        <v>40</v>
      </c>
      <c r="AI122" s="56" t="s">
        <v>40</v>
      </c>
      <c r="AJ122" s="56" t="s">
        <v>40</v>
      </c>
      <c r="AK122" s="56" t="s">
        <v>40</v>
      </c>
      <c r="AL122" s="56" t="s">
        <v>40</v>
      </c>
      <c r="AM122" s="91">
        <f t="shared" si="21"/>
        <v>0</v>
      </c>
      <c r="AO122" s="20" t="s">
        <v>130</v>
      </c>
    </row>
    <row r="123" spans="3:41" x14ac:dyDescent="0.25">
      <c r="C123" s="141"/>
      <c r="AD123" s="60">
        <v>67</v>
      </c>
      <c r="AE123" s="52" t="s">
        <v>13</v>
      </c>
      <c r="AF123" s="56" t="s">
        <v>40</v>
      </c>
      <c r="AG123" s="56" t="s">
        <v>40</v>
      </c>
      <c r="AH123" s="56" t="s">
        <v>40</v>
      </c>
      <c r="AI123" s="56" t="s">
        <v>40</v>
      </c>
      <c r="AJ123" s="56" t="s">
        <v>40</v>
      </c>
      <c r="AK123" s="56" t="s">
        <v>40</v>
      </c>
      <c r="AL123" s="56" t="s">
        <v>40</v>
      </c>
      <c r="AM123" s="91">
        <f t="shared" si="21"/>
        <v>0</v>
      </c>
      <c r="AO123" s="20" t="s">
        <v>130</v>
      </c>
    </row>
    <row r="124" spans="3:41" x14ac:dyDescent="0.25">
      <c r="C124" s="142"/>
      <c r="AD124" s="2" t="s">
        <v>16</v>
      </c>
      <c r="AE124" s="2" t="s">
        <v>15</v>
      </c>
      <c r="AF124" s="25" t="s">
        <v>40</v>
      </c>
      <c r="AG124" s="25" t="s">
        <v>40</v>
      </c>
      <c r="AH124" s="25" t="s">
        <v>40</v>
      </c>
      <c r="AI124" s="25" t="s">
        <v>40</v>
      </c>
      <c r="AJ124" s="25" t="s">
        <v>40</v>
      </c>
      <c r="AK124" s="25" t="s">
        <v>40</v>
      </c>
      <c r="AL124" s="25" t="s">
        <v>40</v>
      </c>
      <c r="AM124" s="78">
        <f t="shared" si="21"/>
        <v>0</v>
      </c>
      <c r="AO124" s="20" t="s">
        <v>131</v>
      </c>
    </row>
    <row r="125" spans="3:41" x14ac:dyDescent="0.25">
      <c r="C125" s="142"/>
      <c r="AD125" s="2" t="s">
        <v>17</v>
      </c>
      <c r="AE125" s="2" t="s">
        <v>15</v>
      </c>
      <c r="AF125" s="25" t="s">
        <v>40</v>
      </c>
      <c r="AG125" s="25" t="s">
        <v>40</v>
      </c>
      <c r="AH125" s="25" t="s">
        <v>40</v>
      </c>
      <c r="AI125" s="25" t="s">
        <v>40</v>
      </c>
      <c r="AJ125" s="25" t="s">
        <v>40</v>
      </c>
      <c r="AK125" s="25" t="s">
        <v>40</v>
      </c>
      <c r="AL125" s="25" t="s">
        <v>40</v>
      </c>
      <c r="AM125" s="78">
        <f t="shared" si="21"/>
        <v>0</v>
      </c>
      <c r="AO125" s="20" t="s">
        <v>131</v>
      </c>
    </row>
    <row r="126" spans="3:41" x14ac:dyDescent="0.25">
      <c r="C126" s="142"/>
      <c r="AD126" s="2" t="s">
        <v>18</v>
      </c>
      <c r="AE126" s="2" t="s">
        <v>15</v>
      </c>
      <c r="AF126" s="25" t="s">
        <v>40</v>
      </c>
      <c r="AG126" s="25" t="s">
        <v>40</v>
      </c>
      <c r="AH126" s="25" t="s">
        <v>40</v>
      </c>
      <c r="AI126" s="25" t="s">
        <v>40</v>
      </c>
      <c r="AJ126" s="25" t="s">
        <v>40</v>
      </c>
      <c r="AK126" s="25" t="s">
        <v>40</v>
      </c>
      <c r="AL126" s="25" t="s">
        <v>40</v>
      </c>
      <c r="AM126" s="78">
        <f t="shared" si="21"/>
        <v>0</v>
      </c>
      <c r="AO126" s="20" t="s">
        <v>131</v>
      </c>
    </row>
    <row r="127" spans="3:41" x14ac:dyDescent="0.25">
      <c r="C127" s="141"/>
      <c r="AD127" s="58">
        <v>18</v>
      </c>
      <c r="AE127" s="2" t="s">
        <v>121</v>
      </c>
      <c r="AF127" s="58">
        <v>2648</v>
      </c>
      <c r="AG127" s="58">
        <v>2648</v>
      </c>
      <c r="AH127" s="58">
        <v>2648</v>
      </c>
      <c r="AI127" s="77">
        <f xml:space="preserve"> AH127 /2</f>
        <v>1324</v>
      </c>
      <c r="AJ127" s="25" t="s">
        <v>40</v>
      </c>
      <c r="AK127" s="25" t="s">
        <v>40</v>
      </c>
      <c r="AL127" s="25" t="s">
        <v>40</v>
      </c>
      <c r="AM127" s="78">
        <f t="shared" si="21"/>
        <v>9268</v>
      </c>
      <c r="AO127" s="20" t="s">
        <v>125</v>
      </c>
    </row>
    <row r="128" spans="3:41" x14ac:dyDescent="0.25">
      <c r="AD128" s="26"/>
      <c r="AE128" s="26"/>
      <c r="AF128" s="67">
        <f>SUM(AF81:AF127)</f>
        <v>261320.33333333334</v>
      </c>
      <c r="AG128" s="67">
        <f t="shared" ref="AG128:AK128" si="23">SUM(AG81:AG127)</f>
        <v>259564.33333333334</v>
      </c>
      <c r="AH128" s="67">
        <f t="shared" si="23"/>
        <v>245246.33333333334</v>
      </c>
      <c r="AI128" s="67">
        <f t="shared" si="23"/>
        <v>213312.16666666666</v>
      </c>
      <c r="AJ128" s="67">
        <f t="shared" si="23"/>
        <v>76068</v>
      </c>
      <c r="AK128" s="67">
        <f t="shared" si="23"/>
        <v>44000</v>
      </c>
      <c r="AL128" s="67"/>
      <c r="AM128" s="67">
        <f>SUM(AF128:AK128)</f>
        <v>1099511.1666666665</v>
      </c>
    </row>
    <row r="129" spans="31:46" x14ac:dyDescent="0.25">
      <c r="AN129" s="15"/>
    </row>
    <row r="130" spans="31:46" x14ac:dyDescent="0.25">
      <c r="AF130" s="26" t="s">
        <v>139</v>
      </c>
      <c r="AG130" s="26" t="s">
        <v>191</v>
      </c>
      <c r="AH130" s="26" t="s">
        <v>140</v>
      </c>
      <c r="AJ130" s="18" t="s">
        <v>145</v>
      </c>
      <c r="AK130" s="17"/>
      <c r="AL130" s="17"/>
      <c r="AM130" s="17"/>
      <c r="AN130" s="190"/>
      <c r="AO130" s="189"/>
      <c r="AP130" s="190"/>
      <c r="AQ130" s="190"/>
      <c r="AR130" s="190"/>
      <c r="AS130" s="190"/>
      <c r="AT130" s="190"/>
    </row>
    <row r="131" spans="31:46" x14ac:dyDescent="0.25">
      <c r="AE131" s="76" t="s">
        <v>141</v>
      </c>
      <c r="AF131" s="58">
        <f>SUM(AF128:AG128)-44000</f>
        <v>476884.66666666669</v>
      </c>
      <c r="AG131" s="58">
        <f>SUM(AF128:AG128)-44000</f>
        <v>476884.66666666669</v>
      </c>
      <c r="AH131" s="58">
        <f>SUM(AF128:AK128)-264000</f>
        <v>835511.16666666651</v>
      </c>
      <c r="AJ131" s="125"/>
      <c r="AK131" s="125"/>
      <c r="AL131" s="125"/>
      <c r="AM131" s="125"/>
      <c r="AN131" s="191"/>
      <c r="AO131" s="189"/>
      <c r="AP131" s="191"/>
      <c r="AQ131" s="190"/>
      <c r="AR131" s="190"/>
      <c r="AS131" s="190"/>
      <c r="AT131" s="190"/>
    </row>
    <row r="132" spans="31:46" x14ac:dyDescent="0.25">
      <c r="AE132" s="76" t="s">
        <v>142</v>
      </c>
      <c r="AF132" s="58">
        <v>0</v>
      </c>
      <c r="AG132" s="58">
        <v>402627</v>
      </c>
      <c r="AH132" s="58">
        <f>SUM(AH128:AJ128)-132000</f>
        <v>402626.5</v>
      </c>
      <c r="AI132" s="20" t="s">
        <v>178</v>
      </c>
      <c r="AN132" s="191"/>
      <c r="AO132" s="189"/>
      <c r="AP132" s="191"/>
      <c r="AQ132" s="190"/>
      <c r="AR132" s="190"/>
      <c r="AS132" s="190"/>
      <c r="AT132" s="190"/>
    </row>
    <row r="133" spans="31:46" x14ac:dyDescent="0.25">
      <c r="AE133" s="76" t="s">
        <v>143</v>
      </c>
      <c r="AF133" s="58">
        <v>0</v>
      </c>
      <c r="AG133" s="58">
        <v>220000</v>
      </c>
      <c r="AH133" s="58">
        <f>SUM(AM97:AM99)</f>
        <v>264000</v>
      </c>
      <c r="AI133" s="20" t="s">
        <v>153</v>
      </c>
      <c r="AN133" s="191"/>
      <c r="AO133" s="189"/>
      <c r="AP133" s="191"/>
      <c r="AQ133" s="190"/>
      <c r="AR133" s="190"/>
      <c r="AS133" s="190"/>
      <c r="AT133" s="190"/>
    </row>
    <row r="134" spans="31:46" x14ac:dyDescent="0.25">
      <c r="AG134" s="67">
        <f>SUM(AG131:AG133)</f>
        <v>1099511.6666666667</v>
      </c>
      <c r="AN134" s="191"/>
      <c r="AO134" s="189"/>
      <c r="AP134" s="191"/>
      <c r="AQ134" s="190"/>
      <c r="AR134" s="190"/>
      <c r="AS134" s="190"/>
      <c r="AT134" s="190"/>
    </row>
    <row r="135" spans="31:46" x14ac:dyDescent="0.25">
      <c r="AN135" s="192"/>
      <c r="AO135" s="189"/>
      <c r="AP135" s="192"/>
      <c r="AQ135" s="190"/>
      <c r="AR135" s="190"/>
      <c r="AS135" s="190"/>
      <c r="AT135" s="190"/>
    </row>
    <row r="136" spans="31:46" x14ac:dyDescent="0.25">
      <c r="AG136" s="107" t="s">
        <v>171</v>
      </c>
      <c r="AO136" s="189"/>
      <c r="AP136" s="190"/>
      <c r="AQ136" s="190"/>
      <c r="AR136" s="190"/>
      <c r="AS136" s="190"/>
      <c r="AT136" s="190"/>
    </row>
    <row r="137" spans="31:46" x14ac:dyDescent="0.25">
      <c r="AG137" s="76" t="s">
        <v>162</v>
      </c>
      <c r="AH137" s="76" t="s">
        <v>163</v>
      </c>
      <c r="AI137" s="76" t="s">
        <v>168</v>
      </c>
      <c r="AJ137" s="76" t="s">
        <v>60</v>
      </c>
      <c r="AK137" s="76" t="s">
        <v>164</v>
      </c>
      <c r="AL137" s="76" t="s">
        <v>169</v>
      </c>
      <c r="AM137" s="76" t="s">
        <v>170</v>
      </c>
    </row>
    <row r="138" spans="31:46" x14ac:dyDescent="0.25">
      <c r="AG138" s="2" t="s">
        <v>159</v>
      </c>
      <c r="AH138" s="2" t="s">
        <v>165</v>
      </c>
      <c r="AI138" s="58">
        <v>241</v>
      </c>
      <c r="AJ138" s="58">
        <f>AI138*500</f>
        <v>120500</v>
      </c>
      <c r="AK138" s="58">
        <f>+AI138*1.2</f>
        <v>289.2</v>
      </c>
      <c r="AL138" s="109">
        <v>7500</v>
      </c>
      <c r="AM138" s="111">
        <f>AK138*AL138</f>
        <v>2169000</v>
      </c>
    </row>
    <row r="139" spans="31:46" x14ac:dyDescent="0.25">
      <c r="AG139" s="2" t="s">
        <v>160</v>
      </c>
      <c r="AH139" s="2" t="s">
        <v>166</v>
      </c>
      <c r="AI139" s="58">
        <v>241</v>
      </c>
      <c r="AJ139" s="58">
        <f>AI139*1000</f>
        <v>241000</v>
      </c>
      <c r="AK139" s="58">
        <f>+AI139*1.2</f>
        <v>289.2</v>
      </c>
      <c r="AL139" s="109">
        <v>7500</v>
      </c>
      <c r="AM139" s="111">
        <f t="shared" ref="AM139:AM140" si="24">AK139*AL139</f>
        <v>2169000</v>
      </c>
    </row>
    <row r="140" spans="31:46" x14ac:dyDescent="0.25">
      <c r="AG140" s="2" t="s">
        <v>161</v>
      </c>
      <c r="AH140" s="2" t="s">
        <v>167</v>
      </c>
      <c r="AI140" s="58">
        <v>54</v>
      </c>
      <c r="AJ140" s="58">
        <f>AI140*1250</f>
        <v>67500</v>
      </c>
      <c r="AK140" s="58">
        <f>+AI140*2</f>
        <v>108</v>
      </c>
      <c r="AL140" s="109">
        <v>7500</v>
      </c>
      <c r="AM140" s="111">
        <f t="shared" si="24"/>
        <v>810000</v>
      </c>
    </row>
    <row r="141" spans="31:46" x14ac:dyDescent="0.25">
      <c r="AH141" s="108"/>
      <c r="AI141" s="67">
        <f>SUM(AI138:AI140)</f>
        <v>536</v>
      </c>
      <c r="AJ141" s="67">
        <f>SUM(AJ138:AJ140)</f>
        <v>429000</v>
      </c>
      <c r="AK141" s="67">
        <f>SUM(AK138:AK140)</f>
        <v>686.4</v>
      </c>
      <c r="AL141" s="110">
        <v>7500</v>
      </c>
      <c r="AM141" s="112">
        <f>SUM(AM138:AM140)</f>
        <v>5148000</v>
      </c>
    </row>
    <row r="142" spans="31:46" x14ac:dyDescent="0.25">
      <c r="AL142" s="26" t="s">
        <v>172</v>
      </c>
      <c r="AM142" s="112">
        <f>AM141/2</f>
        <v>2574000</v>
      </c>
    </row>
    <row r="143" spans="31:46" x14ac:dyDescent="0.25">
      <c r="AG143" s="131" t="s">
        <v>194</v>
      </c>
    </row>
    <row r="144" spans="31:46" x14ac:dyDescent="0.25">
      <c r="AG144" s="131" t="s">
        <v>195</v>
      </c>
    </row>
    <row r="145" spans="33:33" x14ac:dyDescent="0.25">
      <c r="AG145" s="131" t="s">
        <v>196</v>
      </c>
    </row>
    <row r="146" spans="33:33" x14ac:dyDescent="0.25">
      <c r="AG146" s="131" t="s">
        <v>193</v>
      </c>
    </row>
    <row r="147" spans="33:33" x14ac:dyDescent="0.25">
      <c r="AG147" s="131" t="s">
        <v>197</v>
      </c>
    </row>
    <row r="148" spans="33:33" x14ac:dyDescent="0.25">
      <c r="AG148" s="131" t="s">
        <v>199</v>
      </c>
    </row>
    <row r="149" spans="33:33" x14ac:dyDescent="0.25">
      <c r="AG149" s="131" t="s">
        <v>198</v>
      </c>
    </row>
  </sheetData>
  <phoneticPr fontId="2" type="noConversion"/>
  <pageMargins left="0.7" right="0.7" top="0.75" bottom="0.75" header="0.3" footer="0.3"/>
  <pageSetup paperSize="3" scale="98" orientation="portrait" r:id="rId1"/>
  <headerFooter>
    <oddHeader>&amp;LBelmont Center Zoning List of Parcels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8772B-9135-9746-BC69-01BD0C0EFDC7}">
  <dimension ref="A1:M23"/>
  <sheetViews>
    <sheetView zoomScale="140" zoomScaleNormal="140" workbookViewId="0">
      <selection activeCell="K25" sqref="K25"/>
    </sheetView>
  </sheetViews>
  <sheetFormatPr defaultColWidth="10.85546875" defaultRowHeight="15" x14ac:dyDescent="0.25"/>
  <cols>
    <col min="1" max="1" width="18.28515625" customWidth="1"/>
    <col min="2" max="2" width="15.5703125" customWidth="1"/>
    <col min="3" max="5" width="12.85546875" customWidth="1"/>
    <col min="6" max="6" width="13.140625" customWidth="1"/>
    <col min="7" max="7" width="12.140625" bestFit="1" customWidth="1"/>
  </cols>
  <sheetData>
    <row r="1" spans="1:5" ht="21" customHeight="1" x14ac:dyDescent="0.3">
      <c r="A1" s="39" t="s">
        <v>200</v>
      </c>
    </row>
    <row r="2" spans="1:5" ht="14.25" customHeight="1" x14ac:dyDescent="0.25">
      <c r="A2" s="15"/>
      <c r="B2" s="26" t="s">
        <v>139</v>
      </c>
      <c r="C2" s="26" t="s">
        <v>191</v>
      </c>
      <c r="D2" s="26" t="s">
        <v>140</v>
      </c>
      <c r="E2" s="15"/>
    </row>
    <row r="3" spans="1:5" x14ac:dyDescent="0.25">
      <c r="A3" s="76" t="s">
        <v>141</v>
      </c>
      <c r="B3" s="58">
        <f>Full_Buildout!AF54</f>
        <v>300884.66666666669</v>
      </c>
      <c r="C3" s="58">
        <f>Full_Buildout!AG54</f>
        <v>476884.66666666669</v>
      </c>
      <c r="D3" s="58">
        <f>Full_Buildout!AH54</f>
        <v>707385.83333333337</v>
      </c>
      <c r="E3" s="124"/>
    </row>
    <row r="4" spans="1:5" x14ac:dyDescent="0.25">
      <c r="A4" s="76" t="s">
        <v>142</v>
      </c>
      <c r="B4" s="58">
        <f>Full_Buildout!AF55</f>
        <v>0</v>
      </c>
      <c r="C4" s="58">
        <f>Full_Buildout!AG55</f>
        <v>230501</v>
      </c>
      <c r="D4" s="58">
        <f>Full_Buildout!AH55</f>
        <v>274501.16666666663</v>
      </c>
      <c r="E4" s="20" t="s">
        <v>192</v>
      </c>
    </row>
    <row r="5" spans="1:5" x14ac:dyDescent="0.25">
      <c r="A5" s="76" t="s">
        <v>143</v>
      </c>
      <c r="B5" s="58">
        <f>Full_Buildout!AF56</f>
        <v>0</v>
      </c>
      <c r="C5" s="58">
        <f>Full_Buildout!AG56</f>
        <v>176000</v>
      </c>
      <c r="D5" s="58">
        <f>Full_Buildout!AH56</f>
        <v>176000</v>
      </c>
      <c r="E5" s="20" t="s">
        <v>177</v>
      </c>
    </row>
    <row r="6" spans="1:5" x14ac:dyDescent="0.25">
      <c r="A6" s="15"/>
      <c r="B6" s="15"/>
      <c r="C6" s="67">
        <f>SUM(C3:C5)</f>
        <v>883385.66666666674</v>
      </c>
      <c r="D6" s="15"/>
      <c r="E6" s="15"/>
    </row>
    <row r="7" spans="1:5" x14ac:dyDescent="0.25">
      <c r="A7" s="15"/>
      <c r="B7" s="15"/>
      <c r="C7" s="67"/>
      <c r="D7" s="15"/>
      <c r="E7" s="15"/>
    </row>
    <row r="8" spans="1:5" ht="18.75" x14ac:dyDescent="0.3">
      <c r="A8" s="139" t="s">
        <v>201</v>
      </c>
    </row>
    <row r="9" spans="1:5" x14ac:dyDescent="0.25">
      <c r="A9" s="123"/>
      <c r="B9" s="26" t="s">
        <v>139</v>
      </c>
      <c r="C9" s="26" t="s">
        <v>191</v>
      </c>
      <c r="D9" s="26" t="s">
        <v>140</v>
      </c>
      <c r="E9" s="15"/>
    </row>
    <row r="10" spans="1:5" x14ac:dyDescent="0.25">
      <c r="A10" s="76" t="s">
        <v>141</v>
      </c>
      <c r="B10" s="58">
        <f>Full_Buildout!AF131</f>
        <v>476884.66666666669</v>
      </c>
      <c r="C10" s="58">
        <f>Full_Buildout!AG131</f>
        <v>476884.66666666669</v>
      </c>
      <c r="D10" s="58">
        <f>Full_Buildout!AH131</f>
        <v>835511.16666666651</v>
      </c>
      <c r="E10" s="15"/>
    </row>
    <row r="11" spans="1:5" x14ac:dyDescent="0.25">
      <c r="A11" s="76" t="s">
        <v>142</v>
      </c>
      <c r="B11" s="58">
        <f>Full_Buildout!AF132</f>
        <v>0</v>
      </c>
      <c r="C11" s="58">
        <f>Full_Buildout!AG132</f>
        <v>402627</v>
      </c>
      <c r="D11" s="58">
        <f>Full_Buildout!AH132</f>
        <v>402626.5</v>
      </c>
      <c r="E11" s="20" t="s">
        <v>178</v>
      </c>
    </row>
    <row r="12" spans="1:5" x14ac:dyDescent="0.25">
      <c r="A12" s="76" t="s">
        <v>143</v>
      </c>
      <c r="B12" s="58">
        <f>Full_Buildout!AF133</f>
        <v>0</v>
      </c>
      <c r="C12" s="58">
        <f>Full_Buildout!AG133</f>
        <v>220000</v>
      </c>
      <c r="D12" s="58">
        <f>Full_Buildout!AH133</f>
        <v>264000</v>
      </c>
      <c r="E12" s="20" t="s">
        <v>153</v>
      </c>
    </row>
    <row r="13" spans="1:5" x14ac:dyDescent="0.25">
      <c r="A13" s="15"/>
      <c r="B13" s="15"/>
      <c r="C13" s="67">
        <f>SUM(C10:C12)</f>
        <v>1099511.6666666667</v>
      </c>
      <c r="D13" s="15"/>
      <c r="E13" s="15"/>
    </row>
    <row r="14" spans="1:5" x14ac:dyDescent="0.25">
      <c r="A14" s="15"/>
      <c r="B14" s="15"/>
      <c r="C14" s="67"/>
      <c r="D14" s="15"/>
      <c r="E14" s="15"/>
    </row>
    <row r="15" spans="1:5" x14ac:dyDescent="0.25">
      <c r="A15" s="138" t="s">
        <v>144</v>
      </c>
    </row>
    <row r="17" spans="1:13" x14ac:dyDescent="0.25">
      <c r="A17" s="134" t="s">
        <v>185</v>
      </c>
      <c r="B17" s="137" t="s">
        <v>186</v>
      </c>
      <c r="C17" s="135" t="s">
        <v>187</v>
      </c>
      <c r="D17" s="135" t="s">
        <v>188</v>
      </c>
      <c r="E17" s="135" t="s">
        <v>189</v>
      </c>
      <c r="F17" s="135" t="s">
        <v>190</v>
      </c>
      <c r="G17" s="135" t="s">
        <v>138</v>
      </c>
      <c r="H17" s="135"/>
      <c r="I17" s="135"/>
      <c r="J17" s="135"/>
      <c r="K17" s="136"/>
      <c r="L17" s="136"/>
      <c r="M17" s="136"/>
    </row>
    <row r="18" spans="1:13" x14ac:dyDescent="0.25">
      <c r="A18" s="132" t="s">
        <v>179</v>
      </c>
      <c r="B18" s="133"/>
      <c r="C18" s="133"/>
      <c r="D18" s="133"/>
      <c r="E18" s="133"/>
    </row>
    <row r="19" spans="1:13" x14ac:dyDescent="0.25">
      <c r="A19" s="131" t="s">
        <v>181</v>
      </c>
      <c r="B19" s="133">
        <f>B22/2</f>
        <v>238442.33333333334</v>
      </c>
      <c r="C19" s="133">
        <f>B19*0.21</f>
        <v>50072.89</v>
      </c>
      <c r="D19" s="133">
        <f>B19*0.1</f>
        <v>23844.233333333337</v>
      </c>
      <c r="E19" s="133">
        <f>B19*0.69</f>
        <v>164525.21</v>
      </c>
      <c r="F19" s="133">
        <f>F22/2</f>
        <v>115250.5</v>
      </c>
      <c r="G19" s="133">
        <f>G22/2</f>
        <v>88000</v>
      </c>
    </row>
    <row r="20" spans="1:13" x14ac:dyDescent="0.25">
      <c r="A20" s="131" t="s">
        <v>182</v>
      </c>
      <c r="B20" s="133">
        <f>B23/2</f>
        <v>238442.33333333334</v>
      </c>
      <c r="C20" s="133">
        <v>74276</v>
      </c>
      <c r="D20" s="133">
        <v>35369</v>
      </c>
      <c r="E20" s="133">
        <v>308111</v>
      </c>
      <c r="F20" s="133">
        <f>F23/2</f>
        <v>201313.25</v>
      </c>
      <c r="G20" s="133">
        <f>G23/2</f>
        <v>110000</v>
      </c>
    </row>
    <row r="21" spans="1:13" x14ac:dyDescent="0.25">
      <c r="A21" s="132" t="s">
        <v>180</v>
      </c>
      <c r="B21" s="133"/>
      <c r="C21" s="133"/>
      <c r="D21" s="133"/>
      <c r="E21" s="133"/>
    </row>
    <row r="22" spans="1:13" x14ac:dyDescent="0.25">
      <c r="A22" s="131" t="s">
        <v>183</v>
      </c>
      <c r="B22" s="133">
        <f>C3</f>
        <v>476884.66666666669</v>
      </c>
      <c r="C22" s="133">
        <f>B22*0.438</f>
        <v>208875.484</v>
      </c>
      <c r="D22" s="133">
        <f>B22*0.155</f>
        <v>73917.123333333337</v>
      </c>
      <c r="E22" s="133">
        <f>B22*0.407</f>
        <v>194092.05933333334</v>
      </c>
      <c r="F22" s="38">
        <f>C4</f>
        <v>230501</v>
      </c>
      <c r="G22" s="38">
        <f>C5</f>
        <v>176000</v>
      </c>
    </row>
    <row r="23" spans="1:13" x14ac:dyDescent="0.25">
      <c r="A23" s="131" t="s">
        <v>184</v>
      </c>
      <c r="B23" s="133">
        <f>C3</f>
        <v>476884.66666666669</v>
      </c>
      <c r="C23" s="133">
        <f>B23*0.438</f>
        <v>208875.484</v>
      </c>
      <c r="D23" s="133">
        <f>B23*0.155</f>
        <v>73917.123333333337</v>
      </c>
      <c r="E23" s="133">
        <f>B23-C23-D23</f>
        <v>194092.05933333334</v>
      </c>
      <c r="F23" s="38">
        <f>D11</f>
        <v>402626.5</v>
      </c>
      <c r="G23" s="38">
        <f>C12</f>
        <v>220000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BFA68-1AA8-46CF-BC8A-50EF6E39BB7C}">
  <sheetPr>
    <pageSetUpPr fitToPage="1"/>
  </sheetPr>
  <dimension ref="A1:P79"/>
  <sheetViews>
    <sheetView tabSelected="1" zoomScale="120" zoomScaleNormal="120" workbookViewId="0">
      <selection activeCell="F9" sqref="F9"/>
    </sheetView>
  </sheetViews>
  <sheetFormatPr defaultColWidth="8.85546875" defaultRowHeight="15" x14ac:dyDescent="0.25"/>
  <cols>
    <col min="1" max="1" width="2.28515625" bestFit="1" customWidth="1"/>
    <col min="2" max="2" width="39.7109375" customWidth="1"/>
    <col min="3" max="3" width="13.28515625" customWidth="1"/>
    <col min="4" max="4" width="13.42578125" customWidth="1"/>
    <col min="5" max="5" width="13.140625" customWidth="1"/>
    <col min="6" max="6" width="12.7109375" customWidth="1"/>
    <col min="7" max="7" width="2.7109375" customWidth="1"/>
    <col min="8" max="8" width="15" customWidth="1"/>
    <col min="9" max="9" width="9.140625" bestFit="1" customWidth="1"/>
    <col min="10" max="10" width="10.7109375" bestFit="1" customWidth="1"/>
    <col min="11" max="11" width="9" customWidth="1"/>
    <col min="12" max="12" width="2.5703125" customWidth="1"/>
    <col min="13" max="13" width="15" customWidth="1"/>
    <col min="14" max="14" width="9.140625" bestFit="1" customWidth="1"/>
    <col min="15" max="15" width="10.7109375" bestFit="1" customWidth="1"/>
    <col min="16" max="16" width="7.7109375" bestFit="1" customWidth="1"/>
  </cols>
  <sheetData>
    <row r="1" spans="1:16" x14ac:dyDescent="0.25">
      <c r="B1" s="194" t="s">
        <v>263</v>
      </c>
      <c r="C1" s="195" t="s">
        <v>239</v>
      </c>
      <c r="D1" s="195"/>
      <c r="E1" s="196" t="s">
        <v>238</v>
      </c>
      <c r="F1" s="196"/>
      <c r="G1" s="144"/>
      <c r="H1" s="144"/>
      <c r="I1" s="144"/>
      <c r="J1" s="144"/>
      <c r="K1" s="144"/>
      <c r="L1" s="144"/>
      <c r="M1" s="144"/>
      <c r="N1" s="144"/>
      <c r="O1" s="144"/>
      <c r="P1" s="144"/>
    </row>
    <row r="2" spans="1:16" x14ac:dyDescent="0.25">
      <c r="B2" s="145" t="s">
        <v>237</v>
      </c>
      <c r="C2" s="146" t="s">
        <v>236</v>
      </c>
      <c r="D2" s="146" t="s">
        <v>235</v>
      </c>
      <c r="E2" s="146" t="s">
        <v>236</v>
      </c>
      <c r="F2" s="146" t="s">
        <v>235</v>
      </c>
      <c r="G2" s="144"/>
      <c r="H2" s="147" t="s">
        <v>241</v>
      </c>
      <c r="I2" s="148"/>
      <c r="J2" s="148"/>
      <c r="K2" s="149"/>
      <c r="L2" s="144"/>
      <c r="M2" s="150" t="s">
        <v>242</v>
      </c>
      <c r="N2" s="148"/>
      <c r="O2" s="148"/>
      <c r="P2" s="149"/>
    </row>
    <row r="3" spans="1:16" x14ac:dyDescent="0.25">
      <c r="B3" s="151" t="s">
        <v>234</v>
      </c>
      <c r="C3" s="152">
        <f>2206991-C4</f>
        <v>1330425</v>
      </c>
      <c r="D3" s="152">
        <f>2743318-D4</f>
        <v>1643575</v>
      </c>
      <c r="E3" s="152">
        <f>4409830-E4</f>
        <v>2652698</v>
      </c>
      <c r="F3" s="152">
        <f>5604193-F4</f>
        <v>3404706</v>
      </c>
      <c r="G3" s="144"/>
      <c r="H3" s="153"/>
      <c r="I3" s="154" t="s">
        <v>225</v>
      </c>
      <c r="J3" s="154" t="s">
        <v>224</v>
      </c>
      <c r="K3" s="155" t="s">
        <v>223</v>
      </c>
      <c r="L3" s="144"/>
      <c r="M3" s="153"/>
      <c r="N3" s="154" t="s">
        <v>225</v>
      </c>
      <c r="O3" s="154" t="s">
        <v>224</v>
      </c>
      <c r="P3" s="155" t="s">
        <v>223</v>
      </c>
    </row>
    <row r="4" spans="1:16" ht="15.75" thickBot="1" x14ac:dyDescent="0.3">
      <c r="B4" s="151" t="s">
        <v>233</v>
      </c>
      <c r="C4" s="156">
        <v>876566</v>
      </c>
      <c r="D4" s="156">
        <v>1099743</v>
      </c>
      <c r="E4" s="156">
        <v>1757132</v>
      </c>
      <c r="F4" s="156">
        <v>2199487</v>
      </c>
      <c r="G4" s="144"/>
      <c r="H4" s="153" t="s">
        <v>221</v>
      </c>
      <c r="I4" s="144">
        <v>138</v>
      </c>
      <c r="J4" s="144">
        <v>21</v>
      </c>
      <c r="K4" s="157">
        <f>I4-J4</f>
        <v>117</v>
      </c>
      <c r="L4" s="144"/>
      <c r="M4" s="153" t="s">
        <v>221</v>
      </c>
      <c r="N4" s="144">
        <v>242</v>
      </c>
      <c r="O4" s="144">
        <v>36</v>
      </c>
      <c r="P4" s="157">
        <f>N4-O4</f>
        <v>206</v>
      </c>
    </row>
    <row r="5" spans="1:16" ht="15.75" thickTop="1" x14ac:dyDescent="0.25">
      <c r="A5" s="143" t="s">
        <v>232</v>
      </c>
      <c r="B5" s="151" t="s">
        <v>260</v>
      </c>
      <c r="C5" s="158">
        <f>SUM(C3:C4)</f>
        <v>2206991</v>
      </c>
      <c r="D5" s="158">
        <f>SUM(D3:D4)</f>
        <v>2743318</v>
      </c>
      <c r="E5" s="158">
        <f>SUM(E3:E4)</f>
        <v>4409830</v>
      </c>
      <c r="F5" s="158">
        <f>SUM(F3:F4)</f>
        <v>5604193</v>
      </c>
      <c r="G5" s="144"/>
      <c r="H5" s="153" t="s">
        <v>220</v>
      </c>
      <c r="I5" s="144">
        <v>138</v>
      </c>
      <c r="J5" s="144">
        <v>21</v>
      </c>
      <c r="K5" s="157">
        <f>I5-J5</f>
        <v>117</v>
      </c>
      <c r="L5" s="144"/>
      <c r="M5" s="153" t="s">
        <v>220</v>
      </c>
      <c r="N5" s="144">
        <v>242</v>
      </c>
      <c r="O5" s="144">
        <v>36</v>
      </c>
      <c r="P5" s="157">
        <f>N5-O5</f>
        <v>206</v>
      </c>
    </row>
    <row r="6" spans="1:16" ht="15.75" thickBot="1" x14ac:dyDescent="0.3">
      <c r="A6" s="143"/>
      <c r="B6" s="151" t="s">
        <v>261</v>
      </c>
      <c r="C6" s="156">
        <v>1110057</v>
      </c>
      <c r="D6" s="156">
        <v>1110057</v>
      </c>
      <c r="E6" s="156">
        <v>1110057</v>
      </c>
      <c r="F6" s="156">
        <v>1110057</v>
      </c>
      <c r="G6" s="144"/>
      <c r="H6" s="153" t="s">
        <v>219</v>
      </c>
      <c r="I6" s="144">
        <v>31</v>
      </c>
      <c r="J6" s="144">
        <v>5</v>
      </c>
      <c r="K6" s="157">
        <f>I6-J6</f>
        <v>26</v>
      </c>
      <c r="L6" s="144"/>
      <c r="M6" s="153" t="s">
        <v>219</v>
      </c>
      <c r="N6" s="144">
        <v>54</v>
      </c>
      <c r="O6" s="144">
        <v>8</v>
      </c>
      <c r="P6" s="157">
        <f>N6-O6</f>
        <v>46</v>
      </c>
    </row>
    <row r="7" spans="1:16" ht="15.75" thickTop="1" x14ac:dyDescent="0.25">
      <c r="A7" s="143" t="s">
        <v>231</v>
      </c>
      <c r="B7" s="151" t="s">
        <v>259</v>
      </c>
      <c r="C7" s="158">
        <f>C5-C6</f>
        <v>1096934</v>
      </c>
      <c r="D7" s="158">
        <f>D5-D6</f>
        <v>1633261</v>
      </c>
      <c r="E7" s="158">
        <f>E5-E6</f>
        <v>3299773</v>
      </c>
      <c r="F7" s="158">
        <f>F5-F6</f>
        <v>4494136</v>
      </c>
      <c r="G7" s="144"/>
      <c r="H7" s="159" t="s">
        <v>218</v>
      </c>
      <c r="I7" s="160">
        <v>307</v>
      </c>
      <c r="J7" s="160">
        <v>47</v>
      </c>
      <c r="K7" s="161">
        <f>I7-J7</f>
        <v>260</v>
      </c>
      <c r="L7" s="144"/>
      <c r="M7" s="159" t="s">
        <v>218</v>
      </c>
      <c r="N7" s="160">
        <f>SUM(N4:N6)</f>
        <v>538</v>
      </c>
      <c r="O7" s="160">
        <f>SUM(O4:O6)</f>
        <v>80</v>
      </c>
      <c r="P7" s="161">
        <f>N7-O7</f>
        <v>458</v>
      </c>
    </row>
    <row r="8" spans="1:16" x14ac:dyDescent="0.25">
      <c r="B8" s="144"/>
      <c r="C8" s="162"/>
      <c r="D8" s="162"/>
      <c r="E8" s="162"/>
      <c r="F8" s="162"/>
      <c r="G8" s="144"/>
      <c r="H8" s="153"/>
      <c r="I8" s="144"/>
      <c r="J8" s="144"/>
      <c r="K8" s="157"/>
      <c r="L8" s="144"/>
      <c r="M8" s="153"/>
      <c r="N8" s="144"/>
      <c r="O8" s="144"/>
      <c r="P8" s="157"/>
    </row>
    <row r="9" spans="1:16" ht="15.75" thickBot="1" x14ac:dyDescent="0.3">
      <c r="A9" s="143" t="s">
        <v>230</v>
      </c>
      <c r="B9" s="145" t="s">
        <v>264</v>
      </c>
      <c r="C9" s="156">
        <v>504639</v>
      </c>
      <c r="D9" s="156">
        <v>730954</v>
      </c>
      <c r="E9" s="156">
        <v>953273</v>
      </c>
      <c r="F9" s="156">
        <v>1469710</v>
      </c>
      <c r="G9" s="144"/>
      <c r="H9" s="163" t="s">
        <v>189</v>
      </c>
      <c r="I9" s="164">
        <v>194008</v>
      </c>
      <c r="J9" s="144"/>
      <c r="K9" s="157"/>
      <c r="L9" s="144"/>
      <c r="M9" s="163" t="s">
        <v>189</v>
      </c>
      <c r="N9" s="164">
        <v>194008</v>
      </c>
      <c r="O9" s="144"/>
      <c r="P9" s="157"/>
    </row>
    <row r="10" spans="1:16" ht="15.75" thickTop="1" x14ac:dyDescent="0.25">
      <c r="B10" s="165" t="s">
        <v>229</v>
      </c>
      <c r="C10" s="166">
        <f>C$7-C9</f>
        <v>592295</v>
      </c>
      <c r="D10" s="166">
        <f>D$7-D9</f>
        <v>902307</v>
      </c>
      <c r="E10" s="166">
        <f>E$7-E9</f>
        <v>2346500</v>
      </c>
      <c r="F10" s="166">
        <f>F$7-F9</f>
        <v>3024426</v>
      </c>
      <c r="G10" s="144"/>
      <c r="H10" s="163" t="s">
        <v>217</v>
      </c>
      <c r="I10" s="164">
        <v>282876</v>
      </c>
      <c r="J10" s="144"/>
      <c r="K10" s="157"/>
      <c r="L10" s="144"/>
      <c r="M10" s="163" t="s">
        <v>217</v>
      </c>
      <c r="N10" s="164">
        <v>282876</v>
      </c>
      <c r="O10" s="144"/>
      <c r="P10" s="157"/>
    </row>
    <row r="11" spans="1:16" x14ac:dyDescent="0.25">
      <c r="B11" s="144"/>
      <c r="C11" s="162"/>
      <c r="D11" s="162"/>
      <c r="E11" s="162"/>
      <c r="F11" s="162"/>
      <c r="G11" s="144"/>
      <c r="H11" s="167" t="s">
        <v>240</v>
      </c>
      <c r="I11" s="164">
        <v>176000</v>
      </c>
      <c r="J11" s="168">
        <v>286</v>
      </c>
      <c r="K11" s="169"/>
      <c r="L11" s="144"/>
      <c r="M11" s="167" t="s">
        <v>240</v>
      </c>
      <c r="N11" s="164">
        <v>220000</v>
      </c>
      <c r="O11" s="168">
        <v>358</v>
      </c>
      <c r="P11" s="169"/>
    </row>
    <row r="12" spans="1:16" ht="15.75" thickBot="1" x14ac:dyDescent="0.3">
      <c r="A12" s="143" t="s">
        <v>228</v>
      </c>
      <c r="B12" s="145" t="s">
        <v>265</v>
      </c>
      <c r="C12" s="156">
        <v>600934</v>
      </c>
      <c r="D12" s="156">
        <v>923544</v>
      </c>
      <c r="E12" s="156">
        <v>1187132</v>
      </c>
      <c r="F12" s="156">
        <v>1923672</v>
      </c>
      <c r="G12" s="144"/>
      <c r="H12" s="144"/>
      <c r="I12" s="144"/>
      <c r="J12" s="144"/>
      <c r="K12" s="144"/>
      <c r="L12" s="144"/>
      <c r="M12" s="144"/>
      <c r="N12" s="144"/>
      <c r="O12" s="144"/>
      <c r="P12" s="144"/>
    </row>
    <row r="13" spans="1:16" ht="15.75" thickTop="1" x14ac:dyDescent="0.25">
      <c r="B13" s="165" t="s">
        <v>227</v>
      </c>
      <c r="C13" s="166">
        <f>C$7-C12</f>
        <v>496000</v>
      </c>
      <c r="D13" s="166">
        <f>D$7-D12</f>
        <v>709717</v>
      </c>
      <c r="E13" s="166">
        <f>E$7-E12</f>
        <v>2112641</v>
      </c>
      <c r="F13" s="166">
        <f>F$7-F12</f>
        <v>2570464</v>
      </c>
      <c r="G13" s="144"/>
      <c r="H13" s="144"/>
      <c r="I13" s="144"/>
      <c r="J13" s="144"/>
      <c r="K13" s="144"/>
      <c r="L13" s="144"/>
      <c r="M13" s="144"/>
      <c r="N13" s="144"/>
      <c r="O13" s="144"/>
      <c r="P13" s="144"/>
    </row>
    <row r="14" spans="1:16" x14ac:dyDescent="0.25">
      <c r="B14" s="144"/>
      <c r="C14" s="162"/>
      <c r="D14" s="162"/>
      <c r="E14" s="162"/>
      <c r="F14" s="162"/>
      <c r="G14" s="144"/>
      <c r="H14" s="147" t="s">
        <v>243</v>
      </c>
      <c r="I14" s="148"/>
      <c r="J14" s="148"/>
      <c r="K14" s="149"/>
      <c r="L14" s="144"/>
      <c r="M14" s="147" t="s">
        <v>244</v>
      </c>
      <c r="N14" s="148"/>
      <c r="O14" s="148"/>
      <c r="P14" s="149"/>
    </row>
    <row r="15" spans="1:16" ht="15.75" thickBot="1" x14ac:dyDescent="0.3">
      <c r="A15" s="143" t="s">
        <v>226</v>
      </c>
      <c r="B15" s="145" t="s">
        <v>266</v>
      </c>
      <c r="C15" s="156">
        <v>724742</v>
      </c>
      <c r="D15" s="156">
        <v>1102378</v>
      </c>
      <c r="E15" s="156">
        <v>1420992</v>
      </c>
      <c r="F15" s="156">
        <v>2336366</v>
      </c>
      <c r="G15" s="144"/>
      <c r="H15" s="153"/>
      <c r="I15" s="154" t="s">
        <v>225</v>
      </c>
      <c r="J15" s="154" t="s">
        <v>224</v>
      </c>
      <c r="K15" s="155" t="s">
        <v>223</v>
      </c>
      <c r="L15" s="144"/>
      <c r="M15" s="153"/>
      <c r="N15" s="154" t="s">
        <v>225</v>
      </c>
      <c r="O15" s="154" t="s">
        <v>224</v>
      </c>
      <c r="P15" s="155" t="s">
        <v>223</v>
      </c>
    </row>
    <row r="16" spans="1:16" ht="15.75" thickTop="1" x14ac:dyDescent="0.25">
      <c r="B16" s="165" t="s">
        <v>222</v>
      </c>
      <c r="C16" s="166">
        <f>C$7-C15</f>
        <v>372192</v>
      </c>
      <c r="D16" s="166">
        <f>D$7-D15</f>
        <v>530883</v>
      </c>
      <c r="E16" s="166">
        <f>E$7-E15</f>
        <v>1878781</v>
      </c>
      <c r="F16" s="166">
        <f>F$7-F15</f>
        <v>2157770</v>
      </c>
      <c r="G16" s="144"/>
      <c r="H16" s="153" t="s">
        <v>221</v>
      </c>
      <c r="I16" s="144">
        <f>I4/2</f>
        <v>69</v>
      </c>
      <c r="J16" s="144">
        <v>10</v>
      </c>
      <c r="K16" s="157">
        <f>I16-J16</f>
        <v>59</v>
      </c>
      <c r="L16" s="144"/>
      <c r="M16" s="153" t="s">
        <v>221</v>
      </c>
      <c r="N16" s="144">
        <f>N4/2</f>
        <v>121</v>
      </c>
      <c r="O16" s="144">
        <v>18</v>
      </c>
      <c r="P16" s="157">
        <f>N16-O16</f>
        <v>103</v>
      </c>
    </row>
    <row r="17" spans="2:16" x14ac:dyDescent="0.25">
      <c r="B17" s="144"/>
      <c r="C17" s="162"/>
      <c r="D17" s="162"/>
      <c r="E17" s="162"/>
      <c r="F17" s="162"/>
      <c r="G17" s="144"/>
      <c r="H17" s="153" t="s">
        <v>220</v>
      </c>
      <c r="I17" s="144">
        <f>I5/2</f>
        <v>69</v>
      </c>
      <c r="J17" s="144">
        <v>10</v>
      </c>
      <c r="K17" s="157">
        <f>I17-J17</f>
        <v>59</v>
      </c>
      <c r="L17" s="144"/>
      <c r="M17" s="153" t="s">
        <v>220</v>
      </c>
      <c r="N17" s="144">
        <f>N5/2</f>
        <v>121</v>
      </c>
      <c r="O17" s="144">
        <v>18</v>
      </c>
      <c r="P17" s="157">
        <f>N17-O17</f>
        <v>103</v>
      </c>
    </row>
    <row r="18" spans="2:16" x14ac:dyDescent="0.25">
      <c r="B18" s="144"/>
      <c r="C18" s="162"/>
      <c r="D18" s="162"/>
      <c r="E18" s="162"/>
      <c r="F18" s="162"/>
      <c r="G18" s="144"/>
      <c r="H18" s="153" t="s">
        <v>219</v>
      </c>
      <c r="I18" s="144">
        <v>16</v>
      </c>
      <c r="J18" s="144">
        <v>3</v>
      </c>
      <c r="K18" s="157">
        <f>I18-J18</f>
        <v>13</v>
      </c>
      <c r="L18" s="144"/>
      <c r="M18" s="153" t="s">
        <v>219</v>
      </c>
      <c r="N18" s="144">
        <v>16</v>
      </c>
      <c r="O18" s="144">
        <v>4</v>
      </c>
      <c r="P18" s="157">
        <f>N18-O18</f>
        <v>12</v>
      </c>
    </row>
    <row r="19" spans="2:16" x14ac:dyDescent="0.25">
      <c r="B19" s="181" t="s">
        <v>247</v>
      </c>
      <c r="C19" s="180">
        <f>C13</f>
        <v>496000</v>
      </c>
      <c r="D19" s="144"/>
      <c r="E19" s="144"/>
      <c r="F19" s="144"/>
      <c r="G19" s="144"/>
      <c r="H19" s="159" t="s">
        <v>218</v>
      </c>
      <c r="I19" s="160">
        <f>SUM(I16:I18)</f>
        <v>154</v>
      </c>
      <c r="J19" s="160">
        <v>23</v>
      </c>
      <c r="K19" s="161">
        <f>I19-J19</f>
        <v>131</v>
      </c>
      <c r="L19" s="144"/>
      <c r="M19" s="159" t="s">
        <v>218</v>
      </c>
      <c r="N19" s="160">
        <f>SUM(N16:N18)</f>
        <v>258</v>
      </c>
      <c r="O19" s="160">
        <v>23</v>
      </c>
      <c r="P19" s="161">
        <f>N19-O19</f>
        <v>235</v>
      </c>
    </row>
    <row r="20" spans="2:16" x14ac:dyDescent="0.25">
      <c r="B20" s="182" t="s">
        <v>248</v>
      </c>
      <c r="C20" s="180">
        <f>C10</f>
        <v>592295</v>
      </c>
      <c r="D20" s="144"/>
      <c r="E20" s="144"/>
      <c r="F20" s="144"/>
      <c r="G20" s="144"/>
      <c r="H20" s="153"/>
      <c r="I20" s="144"/>
      <c r="J20" s="144"/>
      <c r="K20" s="157"/>
      <c r="L20" s="144"/>
      <c r="M20" s="153"/>
      <c r="N20" s="144"/>
      <c r="O20" s="144"/>
      <c r="P20" s="157"/>
    </row>
    <row r="21" spans="2:16" x14ac:dyDescent="0.25">
      <c r="B21" s="181" t="s">
        <v>249</v>
      </c>
      <c r="C21" s="180">
        <f>C16</f>
        <v>372192</v>
      </c>
      <c r="D21" s="144"/>
      <c r="E21" s="144"/>
      <c r="F21" s="144"/>
      <c r="G21" s="144"/>
      <c r="H21" s="163" t="s">
        <v>189</v>
      </c>
      <c r="I21" s="164">
        <f>I9/2</f>
        <v>97004</v>
      </c>
      <c r="J21" s="144"/>
      <c r="K21" s="157"/>
      <c r="L21" s="144"/>
      <c r="M21" s="163" t="s">
        <v>189</v>
      </c>
      <c r="N21" s="164">
        <f>N9/2</f>
        <v>97004</v>
      </c>
      <c r="O21" s="144"/>
      <c r="P21" s="157"/>
    </row>
    <row r="22" spans="2:16" x14ac:dyDescent="0.25">
      <c r="B22" s="182" t="s">
        <v>250</v>
      </c>
      <c r="C22" s="180">
        <f>D13</f>
        <v>709717</v>
      </c>
      <c r="D22" s="144"/>
      <c r="E22" s="144"/>
      <c r="F22" s="144"/>
      <c r="G22" s="144"/>
      <c r="H22" s="163" t="s">
        <v>217</v>
      </c>
      <c r="I22" s="164">
        <f>I10/2</f>
        <v>141438</v>
      </c>
      <c r="J22" s="144"/>
      <c r="K22" s="157"/>
      <c r="L22" s="144"/>
      <c r="M22" s="163" t="s">
        <v>217</v>
      </c>
      <c r="N22" s="164">
        <f>N10/2</f>
        <v>141438</v>
      </c>
      <c r="O22" s="144"/>
      <c r="P22" s="157"/>
    </row>
    <row r="23" spans="2:16" x14ac:dyDescent="0.25">
      <c r="B23" s="181" t="s">
        <v>251</v>
      </c>
      <c r="C23" s="180">
        <f>D10</f>
        <v>902307</v>
      </c>
      <c r="D23" s="144"/>
      <c r="E23" s="144"/>
      <c r="F23" s="144"/>
      <c r="G23" s="144"/>
      <c r="H23" s="167" t="s">
        <v>240</v>
      </c>
      <c r="I23" s="164">
        <v>88000</v>
      </c>
      <c r="J23" s="170">
        <f>J11/2</f>
        <v>143</v>
      </c>
      <c r="K23" s="169"/>
      <c r="L23" s="144"/>
      <c r="M23" s="167" t="s">
        <v>240</v>
      </c>
      <c r="N23" s="164">
        <v>110000</v>
      </c>
      <c r="O23" s="170">
        <f>O11/2</f>
        <v>179</v>
      </c>
      <c r="P23" s="169"/>
    </row>
    <row r="24" spans="2:16" x14ac:dyDescent="0.25">
      <c r="B24" s="182" t="s">
        <v>252</v>
      </c>
      <c r="C24" s="180">
        <f>D16</f>
        <v>530883</v>
      </c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</row>
    <row r="25" spans="2:16" x14ac:dyDescent="0.25">
      <c r="B25" s="181" t="s">
        <v>253</v>
      </c>
      <c r="C25" s="180">
        <f>E13</f>
        <v>2112641</v>
      </c>
      <c r="D25" s="144"/>
      <c r="E25" s="144"/>
      <c r="F25" s="144"/>
      <c r="G25" s="144"/>
      <c r="H25" s="144"/>
      <c r="I25" s="144"/>
      <c r="J25" s="144"/>
      <c r="K25" s="144"/>
      <c r="L25" s="144"/>
      <c r="M25" s="144"/>
      <c r="N25" s="144"/>
      <c r="O25" s="144"/>
      <c r="P25" s="144"/>
    </row>
    <row r="26" spans="2:16" x14ac:dyDescent="0.25">
      <c r="B26" s="182" t="s">
        <v>254</v>
      </c>
      <c r="C26" s="180">
        <f>E10</f>
        <v>2346500</v>
      </c>
      <c r="D26" s="144"/>
      <c r="E26" s="144"/>
      <c r="F26" s="144"/>
      <c r="G26" s="144"/>
      <c r="H26" s="160" t="s">
        <v>216</v>
      </c>
      <c r="I26" s="144"/>
      <c r="J26" s="144"/>
      <c r="K26" s="144"/>
      <c r="L26" s="144"/>
      <c r="M26" s="144"/>
      <c r="N26" s="144"/>
      <c r="O26" s="144"/>
      <c r="P26" s="144"/>
    </row>
    <row r="27" spans="2:16" x14ac:dyDescent="0.25">
      <c r="B27" s="181" t="s">
        <v>255</v>
      </c>
      <c r="C27" s="180">
        <f>E16</f>
        <v>1878781</v>
      </c>
      <c r="D27" s="144"/>
      <c r="E27" s="144"/>
      <c r="F27" s="144"/>
      <c r="G27" s="144"/>
      <c r="H27" s="160" t="s">
        <v>215</v>
      </c>
      <c r="I27" s="144"/>
      <c r="J27" s="144"/>
      <c r="K27" s="144"/>
      <c r="L27" s="144"/>
      <c r="M27" s="144"/>
      <c r="N27" s="144"/>
      <c r="O27" s="144"/>
      <c r="P27" s="144"/>
    </row>
    <row r="28" spans="2:16" x14ac:dyDescent="0.25">
      <c r="B28" s="182" t="s">
        <v>256</v>
      </c>
      <c r="C28" s="180">
        <f>F13</f>
        <v>2570464</v>
      </c>
      <c r="D28" s="144"/>
      <c r="E28" s="144"/>
      <c r="F28" s="144"/>
      <c r="G28" s="144"/>
      <c r="H28" s="154" t="s">
        <v>214</v>
      </c>
      <c r="I28" s="154" t="s">
        <v>213</v>
      </c>
      <c r="J28" s="154" t="s">
        <v>212</v>
      </c>
      <c r="K28" s="171" t="s">
        <v>211</v>
      </c>
      <c r="L28" s="154"/>
      <c r="M28" s="144"/>
      <c r="N28" s="144"/>
      <c r="O28" s="144"/>
      <c r="P28" s="144"/>
    </row>
    <row r="29" spans="2:16" x14ac:dyDescent="0.25">
      <c r="B29" s="181" t="s">
        <v>257</v>
      </c>
      <c r="C29" s="180">
        <f>F10</f>
        <v>3024426</v>
      </c>
      <c r="D29" s="144"/>
      <c r="E29" s="144"/>
      <c r="F29" s="144"/>
      <c r="G29" s="144"/>
      <c r="H29" s="160" t="s">
        <v>210</v>
      </c>
      <c r="I29" s="172">
        <v>260</v>
      </c>
      <c r="J29" s="144"/>
      <c r="K29" s="193">
        <f>K43</f>
        <v>33.147999999999996</v>
      </c>
      <c r="L29" s="144"/>
      <c r="M29" s="144"/>
      <c r="N29" s="144"/>
      <c r="O29" s="144"/>
      <c r="P29" s="144"/>
    </row>
    <row r="30" spans="2:16" x14ac:dyDescent="0.25">
      <c r="B30" s="182" t="s">
        <v>258</v>
      </c>
      <c r="C30" s="180">
        <f>F16</f>
        <v>2157770</v>
      </c>
      <c r="D30" s="144"/>
      <c r="E30" s="144"/>
      <c r="F30" s="144"/>
      <c r="G30" s="144"/>
      <c r="H30" s="144" t="s">
        <v>208</v>
      </c>
      <c r="I30" s="173">
        <v>117</v>
      </c>
      <c r="J30" s="174">
        <v>0</v>
      </c>
      <c r="K30" s="173">
        <v>0</v>
      </c>
      <c r="L30" s="144"/>
      <c r="M30" s="144"/>
      <c r="N30" s="144"/>
      <c r="O30" s="144"/>
      <c r="P30" s="144"/>
    </row>
    <row r="31" spans="2:16" x14ac:dyDescent="0.25">
      <c r="B31" s="144"/>
      <c r="C31" s="144"/>
      <c r="D31" s="144"/>
      <c r="E31" s="144"/>
      <c r="F31" s="144"/>
      <c r="G31" s="144"/>
      <c r="H31" s="144" t="s">
        <v>207</v>
      </c>
      <c r="I31" s="173">
        <v>117</v>
      </c>
      <c r="J31" s="174">
        <v>0.16300000000000001</v>
      </c>
      <c r="K31" s="173">
        <f>117*0.163</f>
        <v>19.071000000000002</v>
      </c>
      <c r="L31" s="144"/>
      <c r="M31" s="144"/>
      <c r="N31" s="144"/>
      <c r="O31" s="144"/>
      <c r="P31" s="144"/>
    </row>
    <row r="32" spans="2:16" x14ac:dyDescent="0.25">
      <c r="B32" s="144"/>
      <c r="C32" s="144"/>
      <c r="D32" s="144"/>
      <c r="E32" s="144"/>
      <c r="F32" s="144"/>
      <c r="G32" s="144"/>
      <c r="H32" s="144" t="s">
        <v>206</v>
      </c>
      <c r="I32" s="173">
        <v>26</v>
      </c>
      <c r="J32" s="174">
        <v>0.214</v>
      </c>
      <c r="K32" s="173">
        <f>I32*J32</f>
        <v>5.5640000000000001</v>
      </c>
      <c r="L32" s="144"/>
      <c r="M32" s="144"/>
      <c r="N32" s="144"/>
      <c r="O32" s="144"/>
      <c r="P32" s="144"/>
    </row>
    <row r="33" spans="2:16" x14ac:dyDescent="0.25">
      <c r="B33" s="144"/>
      <c r="C33" s="144"/>
      <c r="D33" s="144"/>
      <c r="E33" s="144"/>
      <c r="F33" s="144"/>
      <c r="G33" s="144"/>
      <c r="H33" s="144" t="s">
        <v>205</v>
      </c>
      <c r="I33" s="173">
        <v>0</v>
      </c>
      <c r="J33" s="174">
        <v>0.8</v>
      </c>
      <c r="K33" s="173">
        <v>0</v>
      </c>
      <c r="L33" s="144"/>
      <c r="M33" s="144"/>
      <c r="N33" s="144"/>
      <c r="O33" s="144"/>
      <c r="P33" s="144"/>
    </row>
    <row r="34" spans="2:16" x14ac:dyDescent="0.25">
      <c r="B34" s="144"/>
      <c r="C34" s="144"/>
      <c r="D34" s="144"/>
      <c r="E34" s="144"/>
      <c r="F34" s="144"/>
      <c r="G34" s="144"/>
      <c r="H34" s="144" t="s">
        <v>204</v>
      </c>
      <c r="I34" s="173">
        <v>0</v>
      </c>
      <c r="J34" s="174">
        <v>0.25</v>
      </c>
      <c r="K34" s="173">
        <v>0</v>
      </c>
      <c r="L34" s="144"/>
      <c r="M34" s="144"/>
      <c r="N34" s="144"/>
      <c r="O34" s="144"/>
      <c r="P34" s="144"/>
    </row>
    <row r="35" spans="2:16" x14ac:dyDescent="0.25">
      <c r="B35" s="144"/>
      <c r="C35" s="144"/>
      <c r="D35" s="144"/>
      <c r="E35" s="144"/>
      <c r="F35" s="144"/>
      <c r="G35" s="144"/>
      <c r="H35" s="144" t="s">
        <v>203</v>
      </c>
      <c r="I35" s="173">
        <v>0</v>
      </c>
      <c r="J35" s="174">
        <v>0.42899999999999999</v>
      </c>
      <c r="K35" s="173">
        <v>0</v>
      </c>
      <c r="L35" s="144"/>
      <c r="M35" s="144"/>
      <c r="N35" s="144"/>
      <c r="O35" s="144"/>
      <c r="P35" s="144"/>
    </row>
    <row r="36" spans="2:16" x14ac:dyDescent="0.25">
      <c r="B36" s="144"/>
      <c r="C36" s="144"/>
      <c r="D36" s="144"/>
      <c r="E36" s="144"/>
      <c r="F36" s="144"/>
      <c r="G36" s="144"/>
      <c r="H36" s="160" t="s">
        <v>209</v>
      </c>
      <c r="I36" s="172">
        <v>47</v>
      </c>
      <c r="J36" s="144"/>
      <c r="K36" s="173">
        <v>0</v>
      </c>
      <c r="L36" s="144"/>
      <c r="M36" s="144"/>
      <c r="N36" s="144"/>
      <c r="O36" s="144"/>
      <c r="P36" s="144"/>
    </row>
    <row r="37" spans="2:16" x14ac:dyDescent="0.25">
      <c r="B37" s="144"/>
      <c r="C37" s="144"/>
      <c r="D37" s="144"/>
      <c r="E37" s="144"/>
      <c r="F37" s="144"/>
      <c r="G37" s="144"/>
      <c r="H37" s="144" t="s">
        <v>208</v>
      </c>
      <c r="I37" s="173">
        <v>21</v>
      </c>
      <c r="J37" s="174">
        <v>0</v>
      </c>
      <c r="K37" s="173">
        <f t="shared" ref="K37:K39" si="0">I37*J37</f>
        <v>0</v>
      </c>
      <c r="L37" s="144"/>
      <c r="M37" s="144"/>
      <c r="N37" s="144"/>
      <c r="O37" s="144"/>
      <c r="P37" s="144"/>
    </row>
    <row r="38" spans="2:16" x14ac:dyDescent="0.25">
      <c r="B38" s="144"/>
      <c r="C38" s="144"/>
      <c r="D38" s="144"/>
      <c r="E38" s="144"/>
      <c r="F38" s="144"/>
      <c r="G38" s="144"/>
      <c r="H38" s="144" t="s">
        <v>207</v>
      </c>
      <c r="I38" s="173">
        <v>21</v>
      </c>
      <c r="J38" s="174">
        <v>0.16300000000000001</v>
      </c>
      <c r="K38" s="173">
        <f t="shared" si="0"/>
        <v>3.423</v>
      </c>
      <c r="L38" s="144"/>
      <c r="M38" s="144"/>
      <c r="N38" s="144"/>
      <c r="O38" s="144"/>
      <c r="P38" s="144"/>
    </row>
    <row r="39" spans="2:16" x14ac:dyDescent="0.25">
      <c r="B39" s="144"/>
      <c r="C39" s="144"/>
      <c r="D39" s="144"/>
      <c r="E39" s="144"/>
      <c r="F39" s="144"/>
      <c r="G39" s="144"/>
      <c r="H39" s="144" t="s">
        <v>206</v>
      </c>
      <c r="I39" s="173">
        <v>5</v>
      </c>
      <c r="J39" s="174">
        <v>1.018</v>
      </c>
      <c r="K39" s="173">
        <f t="shared" si="0"/>
        <v>5.09</v>
      </c>
      <c r="L39" s="144"/>
      <c r="M39" s="144"/>
      <c r="N39" s="144"/>
      <c r="O39" s="144"/>
      <c r="P39" s="144"/>
    </row>
    <row r="40" spans="2:16" x14ac:dyDescent="0.25">
      <c r="B40" s="144"/>
      <c r="C40" s="144"/>
      <c r="D40" s="144"/>
      <c r="E40" s="144"/>
      <c r="F40" s="144"/>
      <c r="G40" s="144"/>
      <c r="H40" s="144" t="s">
        <v>205</v>
      </c>
      <c r="I40" s="173">
        <v>0</v>
      </c>
      <c r="J40" s="174">
        <v>1.19</v>
      </c>
      <c r="K40" s="173">
        <v>0</v>
      </c>
      <c r="L40" s="144"/>
      <c r="M40" s="144"/>
      <c r="N40" s="144"/>
      <c r="O40" s="144"/>
      <c r="P40" s="144"/>
    </row>
    <row r="41" spans="2:16" x14ac:dyDescent="0.25">
      <c r="B41" s="144"/>
      <c r="C41" s="144"/>
      <c r="D41" s="144"/>
      <c r="E41" s="144"/>
      <c r="F41" s="144"/>
      <c r="G41" s="144"/>
      <c r="H41" s="144" t="s">
        <v>204</v>
      </c>
      <c r="I41" s="173">
        <v>0</v>
      </c>
      <c r="J41" s="174">
        <v>0.25</v>
      </c>
      <c r="K41" s="173">
        <v>0</v>
      </c>
      <c r="L41" s="144"/>
      <c r="M41" s="144"/>
      <c r="N41" s="144"/>
      <c r="O41" s="144"/>
      <c r="P41" s="144"/>
    </row>
    <row r="42" spans="2:16" x14ac:dyDescent="0.25">
      <c r="B42" s="144"/>
      <c r="C42" s="144"/>
      <c r="D42" s="144"/>
      <c r="E42" s="144"/>
      <c r="F42" s="144"/>
      <c r="G42" s="144"/>
      <c r="H42" s="144" t="s">
        <v>203</v>
      </c>
      <c r="I42" s="173">
        <v>0</v>
      </c>
      <c r="J42" s="174">
        <v>0.42899999999999999</v>
      </c>
      <c r="K42" s="173">
        <v>0</v>
      </c>
      <c r="L42" s="144"/>
      <c r="M42" s="144"/>
      <c r="N42" s="144"/>
      <c r="O42" s="144"/>
      <c r="P42" s="144"/>
    </row>
    <row r="43" spans="2:16" x14ac:dyDescent="0.25">
      <c r="B43" s="144"/>
      <c r="C43" s="144"/>
      <c r="D43" s="144"/>
      <c r="E43" s="144"/>
      <c r="F43" s="144"/>
      <c r="G43" s="144"/>
      <c r="H43" s="160" t="s">
        <v>119</v>
      </c>
      <c r="I43" s="160">
        <v>307</v>
      </c>
      <c r="J43" s="160"/>
      <c r="K43" s="172">
        <f>SUM(K30:K42)</f>
        <v>33.147999999999996</v>
      </c>
      <c r="L43" s="144"/>
      <c r="M43" s="144"/>
      <c r="N43" s="144"/>
      <c r="O43" s="144"/>
      <c r="P43" s="144"/>
    </row>
    <row r="44" spans="2:16" x14ac:dyDescent="0.25">
      <c r="B44" s="144"/>
      <c r="C44" s="144"/>
      <c r="D44" s="144"/>
      <c r="E44" s="144"/>
      <c r="F44" s="144"/>
      <c r="G44" s="144"/>
      <c r="H44" s="160"/>
      <c r="I44" s="160"/>
      <c r="J44" s="160"/>
      <c r="K44" s="172"/>
      <c r="L44" s="144"/>
      <c r="M44" s="144"/>
      <c r="N44" s="144"/>
      <c r="O44" s="144"/>
      <c r="P44" s="144"/>
    </row>
    <row r="45" spans="2:16" x14ac:dyDescent="0.25">
      <c r="B45" s="144"/>
      <c r="C45" s="144"/>
      <c r="D45" s="144"/>
      <c r="E45" s="144"/>
      <c r="F45" s="144"/>
      <c r="G45" s="144"/>
      <c r="H45" s="160" t="s">
        <v>245</v>
      </c>
      <c r="I45" s="144"/>
      <c r="J45" s="144"/>
      <c r="K45" s="144"/>
      <c r="L45" s="144"/>
      <c r="M45" s="144"/>
      <c r="N45" s="144"/>
      <c r="O45" s="144"/>
      <c r="P45" s="144"/>
    </row>
    <row r="46" spans="2:16" x14ac:dyDescent="0.25">
      <c r="B46" s="144"/>
      <c r="C46" s="144"/>
      <c r="D46" s="144"/>
      <c r="E46" s="144"/>
      <c r="F46" s="144"/>
      <c r="G46" s="144"/>
      <c r="H46" s="154" t="s">
        <v>214</v>
      </c>
      <c r="I46" s="154" t="s">
        <v>213</v>
      </c>
      <c r="J46" s="154" t="s">
        <v>212</v>
      </c>
      <c r="K46" s="171" t="s">
        <v>211</v>
      </c>
      <c r="L46" s="154"/>
      <c r="M46" s="154"/>
      <c r="N46" s="144"/>
      <c r="O46" s="144"/>
      <c r="P46" s="144"/>
    </row>
    <row r="47" spans="2:16" x14ac:dyDescent="0.25">
      <c r="B47" s="144"/>
      <c r="C47" s="144"/>
      <c r="D47" s="144"/>
      <c r="E47" s="144"/>
      <c r="F47" s="144"/>
      <c r="G47" s="144"/>
      <c r="H47" s="160" t="s">
        <v>210</v>
      </c>
      <c r="I47" s="172">
        <v>260</v>
      </c>
      <c r="J47" s="144"/>
      <c r="K47" s="173">
        <v>42.9</v>
      </c>
      <c r="L47" s="144"/>
      <c r="M47" s="144"/>
      <c r="N47" s="144"/>
      <c r="O47" s="144"/>
      <c r="P47" s="144"/>
    </row>
    <row r="48" spans="2:16" x14ac:dyDescent="0.25">
      <c r="B48" s="144"/>
      <c r="C48" s="144"/>
      <c r="D48" s="144"/>
      <c r="E48" s="144"/>
      <c r="F48" s="144"/>
      <c r="G48" s="144"/>
      <c r="H48" s="144" t="s">
        <v>208</v>
      </c>
      <c r="I48" s="173">
        <v>117</v>
      </c>
      <c r="J48" s="175">
        <v>0</v>
      </c>
      <c r="K48" s="173">
        <v>0</v>
      </c>
      <c r="L48" s="144"/>
      <c r="M48" s="144"/>
      <c r="N48" s="144"/>
      <c r="O48" s="144"/>
      <c r="P48" s="144"/>
    </row>
    <row r="49" spans="2:16" x14ac:dyDescent="0.25">
      <c r="B49" s="144"/>
      <c r="C49" s="144"/>
      <c r="D49" s="144"/>
      <c r="E49" s="144"/>
      <c r="F49" s="144"/>
      <c r="G49" s="144"/>
      <c r="H49" s="144" t="s">
        <v>207</v>
      </c>
      <c r="I49" s="173">
        <v>117</v>
      </c>
      <c r="J49" s="175">
        <v>0.3</v>
      </c>
      <c r="K49" s="173">
        <v>35.1</v>
      </c>
      <c r="L49" s="144"/>
      <c r="M49" s="144"/>
      <c r="N49" s="144"/>
      <c r="O49" s="144"/>
      <c r="P49" s="144"/>
    </row>
    <row r="50" spans="2:16" x14ac:dyDescent="0.25">
      <c r="B50" s="144"/>
      <c r="C50" s="144"/>
      <c r="D50" s="144"/>
      <c r="E50" s="144"/>
      <c r="F50" s="144"/>
      <c r="G50" s="144"/>
      <c r="H50" s="144" t="s">
        <v>206</v>
      </c>
      <c r="I50" s="173">
        <v>26</v>
      </c>
      <c r="J50" s="175">
        <v>0.3</v>
      </c>
      <c r="K50" s="173">
        <v>7.8</v>
      </c>
      <c r="L50" s="144"/>
      <c r="M50" s="144"/>
      <c r="N50" s="144"/>
      <c r="O50" s="144"/>
      <c r="P50" s="144"/>
    </row>
    <row r="51" spans="2:16" x14ac:dyDescent="0.25">
      <c r="B51" s="144"/>
      <c r="C51" s="144"/>
      <c r="D51" s="144"/>
      <c r="E51" s="144"/>
      <c r="F51" s="144"/>
      <c r="G51" s="144"/>
      <c r="H51" s="144" t="s">
        <v>205</v>
      </c>
      <c r="I51" s="173">
        <v>0</v>
      </c>
      <c r="J51" s="175">
        <v>0.3</v>
      </c>
      <c r="K51" s="173">
        <v>0</v>
      </c>
      <c r="L51" s="144"/>
      <c r="M51" s="144"/>
      <c r="N51" s="144"/>
      <c r="O51" s="144"/>
      <c r="P51" s="144"/>
    </row>
    <row r="52" spans="2:16" x14ac:dyDescent="0.25">
      <c r="B52" s="144"/>
      <c r="C52" s="144"/>
      <c r="D52" s="144"/>
      <c r="E52" s="144"/>
      <c r="F52" s="144"/>
      <c r="G52" s="144"/>
      <c r="H52" s="144" t="s">
        <v>204</v>
      </c>
      <c r="I52" s="173">
        <v>0</v>
      </c>
      <c r="J52" s="175">
        <v>0.3</v>
      </c>
      <c r="K52" s="173">
        <v>0</v>
      </c>
      <c r="L52" s="144"/>
      <c r="M52" s="144"/>
      <c r="N52" s="144"/>
      <c r="O52" s="144"/>
      <c r="P52" s="144"/>
    </row>
    <row r="53" spans="2:16" x14ac:dyDescent="0.25">
      <c r="B53" s="144"/>
      <c r="C53" s="144"/>
      <c r="D53" s="144"/>
      <c r="E53" s="144"/>
      <c r="F53" s="144"/>
      <c r="G53" s="144"/>
      <c r="H53" s="144" t="s">
        <v>203</v>
      </c>
      <c r="I53" s="173">
        <v>0</v>
      </c>
      <c r="J53" s="175">
        <v>0.42899999999999999</v>
      </c>
      <c r="K53" s="173">
        <v>0</v>
      </c>
      <c r="L53" s="144"/>
      <c r="M53" s="144"/>
      <c r="N53" s="144"/>
      <c r="O53" s="144"/>
      <c r="P53" s="144"/>
    </row>
    <row r="54" spans="2:16" x14ac:dyDescent="0.25">
      <c r="B54" s="144"/>
      <c r="C54" s="144"/>
      <c r="D54" s="144"/>
      <c r="E54" s="144"/>
      <c r="F54" s="144"/>
      <c r="G54" s="144"/>
      <c r="H54" s="160" t="s">
        <v>209</v>
      </c>
      <c r="I54" s="172">
        <v>47</v>
      </c>
      <c r="J54" s="144"/>
      <c r="K54" s="173">
        <v>7.8</v>
      </c>
      <c r="L54" s="144"/>
      <c r="M54" s="144"/>
      <c r="N54" s="144"/>
      <c r="O54" s="144"/>
      <c r="P54" s="144"/>
    </row>
    <row r="55" spans="2:16" x14ac:dyDescent="0.25">
      <c r="B55" s="144"/>
      <c r="C55" s="144"/>
      <c r="D55" s="144"/>
      <c r="E55" s="144"/>
      <c r="F55" s="144"/>
      <c r="G55" s="144"/>
      <c r="H55" s="144" t="s">
        <v>208</v>
      </c>
      <c r="I55" s="173">
        <v>21</v>
      </c>
      <c r="J55" s="175">
        <v>0</v>
      </c>
      <c r="K55" s="173">
        <v>0</v>
      </c>
      <c r="L55" s="144"/>
      <c r="M55" s="144"/>
      <c r="N55" s="144"/>
      <c r="O55" s="144"/>
      <c r="P55" s="144"/>
    </row>
    <row r="56" spans="2:16" x14ac:dyDescent="0.25">
      <c r="B56" s="144"/>
      <c r="C56" s="144"/>
      <c r="D56" s="144"/>
      <c r="E56" s="144"/>
      <c r="F56" s="144"/>
      <c r="G56" s="144"/>
      <c r="H56" s="144" t="s">
        <v>207</v>
      </c>
      <c r="I56" s="173">
        <v>21</v>
      </c>
      <c r="J56" s="175">
        <v>0.3</v>
      </c>
      <c r="K56" s="173">
        <v>6.3</v>
      </c>
      <c r="L56" s="144"/>
      <c r="M56" s="144"/>
      <c r="N56" s="144"/>
      <c r="O56" s="144"/>
      <c r="P56" s="144"/>
    </row>
    <row r="57" spans="2:16" x14ac:dyDescent="0.25">
      <c r="B57" s="144"/>
      <c r="C57" s="144"/>
      <c r="D57" s="144"/>
      <c r="E57" s="144"/>
      <c r="F57" s="144"/>
      <c r="G57" s="144"/>
      <c r="H57" s="144" t="s">
        <v>206</v>
      </c>
      <c r="I57" s="173">
        <v>5</v>
      </c>
      <c r="J57" s="175">
        <v>0.3</v>
      </c>
      <c r="K57" s="173">
        <v>1.5</v>
      </c>
      <c r="L57" s="144"/>
      <c r="M57" s="144"/>
      <c r="N57" s="144"/>
      <c r="O57" s="144"/>
      <c r="P57" s="144"/>
    </row>
    <row r="58" spans="2:16" x14ac:dyDescent="0.25">
      <c r="B58" s="144"/>
      <c r="C58" s="144"/>
      <c r="D58" s="144"/>
      <c r="E58" s="144"/>
      <c r="F58" s="144"/>
      <c r="G58" s="144"/>
      <c r="H58" s="144" t="s">
        <v>205</v>
      </c>
      <c r="I58" s="173">
        <v>0</v>
      </c>
      <c r="J58" s="175">
        <v>0.3</v>
      </c>
      <c r="K58" s="173">
        <v>0</v>
      </c>
      <c r="L58" s="144"/>
      <c r="M58" s="144"/>
      <c r="N58" s="144"/>
      <c r="O58" s="144"/>
      <c r="P58" s="144"/>
    </row>
    <row r="59" spans="2:16" x14ac:dyDescent="0.25">
      <c r="B59" s="144"/>
      <c r="C59" s="144"/>
      <c r="D59" s="144"/>
      <c r="E59" s="144"/>
      <c r="F59" s="144"/>
      <c r="G59" s="144"/>
      <c r="H59" s="144" t="s">
        <v>204</v>
      </c>
      <c r="I59" s="173">
        <v>0</v>
      </c>
      <c r="J59" s="175">
        <v>0.3</v>
      </c>
      <c r="K59" s="173">
        <v>0</v>
      </c>
      <c r="L59" s="144"/>
      <c r="M59" s="144"/>
      <c r="N59" s="144"/>
      <c r="O59" s="144"/>
      <c r="P59" s="144"/>
    </row>
    <row r="60" spans="2:16" x14ac:dyDescent="0.25">
      <c r="B60" s="144"/>
      <c r="C60" s="144"/>
      <c r="D60" s="144"/>
      <c r="E60" s="144"/>
      <c r="F60" s="144"/>
      <c r="G60" s="144"/>
      <c r="H60" s="144" t="s">
        <v>203</v>
      </c>
      <c r="I60" s="173">
        <v>0</v>
      </c>
      <c r="J60" s="175">
        <v>0.42899999999999999</v>
      </c>
      <c r="K60" s="173">
        <v>0</v>
      </c>
      <c r="L60" s="144"/>
      <c r="M60" s="144"/>
      <c r="N60" s="144"/>
      <c r="O60" s="144"/>
      <c r="P60" s="144"/>
    </row>
    <row r="61" spans="2:16" x14ac:dyDescent="0.25">
      <c r="B61" s="144"/>
      <c r="C61" s="144"/>
      <c r="D61" s="144"/>
      <c r="E61" s="144"/>
      <c r="F61" s="144"/>
      <c r="G61" s="144"/>
      <c r="H61" s="160" t="s">
        <v>119</v>
      </c>
      <c r="I61" s="160">
        <v>307</v>
      </c>
      <c r="J61" s="160"/>
      <c r="K61" s="172">
        <v>50.699999999999996</v>
      </c>
      <c r="L61" s="144"/>
      <c r="M61" s="144"/>
      <c r="N61" s="144"/>
      <c r="O61" s="144"/>
      <c r="P61" s="144"/>
    </row>
    <row r="62" spans="2:16" x14ac:dyDescent="0.25">
      <c r="B62" s="144"/>
      <c r="C62" s="144"/>
      <c r="D62" s="144"/>
      <c r="E62" s="144"/>
      <c r="F62" s="144"/>
      <c r="G62" s="144"/>
      <c r="H62" s="144"/>
      <c r="I62" s="144"/>
      <c r="J62" s="144"/>
      <c r="K62" s="144"/>
      <c r="L62" s="144"/>
      <c r="M62" s="144"/>
      <c r="N62" s="144"/>
      <c r="O62" s="144"/>
      <c r="P62" s="144"/>
    </row>
    <row r="63" spans="2:16" x14ac:dyDescent="0.25">
      <c r="B63" s="144"/>
      <c r="C63" s="144"/>
      <c r="D63" s="144"/>
      <c r="E63" s="144"/>
      <c r="F63" s="144"/>
      <c r="G63" s="144"/>
      <c r="H63" s="160" t="s">
        <v>246</v>
      </c>
      <c r="I63" s="144"/>
      <c r="J63" s="144"/>
      <c r="K63" s="144"/>
      <c r="L63" s="144"/>
      <c r="M63" s="144"/>
      <c r="N63" s="144"/>
      <c r="O63" s="144"/>
      <c r="P63" s="144"/>
    </row>
    <row r="64" spans="2:16" x14ac:dyDescent="0.25">
      <c r="B64" s="144"/>
      <c r="C64" s="144"/>
      <c r="D64" s="144"/>
      <c r="E64" s="144"/>
      <c r="F64" s="144"/>
      <c r="G64" s="144"/>
      <c r="H64" s="154" t="s">
        <v>214</v>
      </c>
      <c r="I64" s="154" t="s">
        <v>213</v>
      </c>
      <c r="J64" s="154" t="s">
        <v>212</v>
      </c>
      <c r="K64" s="160" t="s">
        <v>211</v>
      </c>
      <c r="L64" s="160"/>
      <c r="M64" s="160"/>
      <c r="N64" s="144"/>
      <c r="O64" s="144"/>
      <c r="P64" s="144"/>
    </row>
    <row r="65" spans="2:16" x14ac:dyDescent="0.25">
      <c r="B65" s="144"/>
      <c r="C65" s="144"/>
      <c r="D65" s="144"/>
      <c r="E65" s="144"/>
      <c r="F65" s="144"/>
      <c r="G65" s="144"/>
      <c r="H65" s="160" t="s">
        <v>210</v>
      </c>
      <c r="I65" s="172">
        <v>260</v>
      </c>
      <c r="J65" s="144"/>
      <c r="K65" s="173">
        <v>57.2</v>
      </c>
      <c r="L65" s="144"/>
      <c r="M65" s="144"/>
      <c r="N65" s="144"/>
      <c r="O65" s="144"/>
      <c r="P65" s="144"/>
    </row>
    <row r="66" spans="2:16" x14ac:dyDescent="0.25">
      <c r="B66" s="144"/>
      <c r="C66" s="144"/>
      <c r="D66" s="144"/>
      <c r="E66" s="144"/>
      <c r="F66" s="144"/>
      <c r="G66" s="144"/>
      <c r="H66" s="144" t="s">
        <v>208</v>
      </c>
      <c r="I66" s="173">
        <v>117</v>
      </c>
      <c r="J66" s="175">
        <v>0</v>
      </c>
      <c r="K66" s="173">
        <v>0</v>
      </c>
      <c r="L66" s="144"/>
      <c r="M66" s="144"/>
      <c r="N66" s="144"/>
      <c r="O66" s="144"/>
      <c r="P66" s="144"/>
    </row>
    <row r="67" spans="2:16" x14ac:dyDescent="0.25">
      <c r="B67" s="144"/>
      <c r="C67" s="144"/>
      <c r="D67" s="144"/>
      <c r="E67" s="144"/>
      <c r="F67" s="144"/>
      <c r="G67" s="144"/>
      <c r="H67" s="144" t="s">
        <v>207</v>
      </c>
      <c r="I67" s="173">
        <v>117</v>
      </c>
      <c r="J67" s="175">
        <v>0.4</v>
      </c>
      <c r="K67" s="173">
        <v>46.800000000000004</v>
      </c>
      <c r="L67" s="144"/>
      <c r="M67" s="144"/>
      <c r="N67" s="144"/>
      <c r="O67" s="144"/>
      <c r="P67" s="144"/>
    </row>
    <row r="68" spans="2:16" x14ac:dyDescent="0.25">
      <c r="B68" s="144"/>
      <c r="C68" s="144"/>
      <c r="D68" s="144"/>
      <c r="E68" s="144"/>
      <c r="F68" s="144"/>
      <c r="G68" s="144"/>
      <c r="H68" s="144" t="s">
        <v>206</v>
      </c>
      <c r="I68" s="173">
        <v>26</v>
      </c>
      <c r="J68" s="175">
        <v>0.4</v>
      </c>
      <c r="K68" s="173">
        <v>10.4</v>
      </c>
      <c r="L68" s="144"/>
      <c r="M68" s="144"/>
      <c r="N68" s="144"/>
      <c r="O68" s="144"/>
      <c r="P68" s="144"/>
    </row>
    <row r="69" spans="2:16" x14ac:dyDescent="0.25">
      <c r="B69" s="144"/>
      <c r="C69" s="144"/>
      <c r="D69" s="144"/>
      <c r="E69" s="144"/>
      <c r="F69" s="144"/>
      <c r="G69" s="144"/>
      <c r="H69" s="144" t="s">
        <v>205</v>
      </c>
      <c r="I69" s="173">
        <v>0</v>
      </c>
      <c r="J69" s="175">
        <v>0.4</v>
      </c>
      <c r="K69" s="173">
        <v>0</v>
      </c>
      <c r="L69" s="144"/>
      <c r="M69" s="144"/>
      <c r="N69" s="144"/>
      <c r="O69" s="144"/>
      <c r="P69" s="144"/>
    </row>
    <row r="70" spans="2:16" x14ac:dyDescent="0.25">
      <c r="B70" s="144"/>
      <c r="C70" s="144"/>
      <c r="D70" s="144"/>
      <c r="E70" s="144"/>
      <c r="F70" s="144"/>
      <c r="G70" s="144"/>
      <c r="H70" s="144" t="s">
        <v>204</v>
      </c>
      <c r="I70" s="173">
        <v>0</v>
      </c>
      <c r="J70" s="175">
        <v>0.4</v>
      </c>
      <c r="K70" s="173">
        <v>0</v>
      </c>
      <c r="L70" s="144"/>
      <c r="M70" s="144"/>
      <c r="N70" s="144"/>
      <c r="O70" s="144"/>
      <c r="P70" s="144"/>
    </row>
    <row r="71" spans="2:16" x14ac:dyDescent="0.25">
      <c r="B71" s="144"/>
      <c r="C71" s="144"/>
      <c r="D71" s="144"/>
      <c r="E71" s="144"/>
      <c r="F71" s="144"/>
      <c r="G71" s="144"/>
      <c r="H71" s="144" t="s">
        <v>203</v>
      </c>
      <c r="I71" s="173">
        <v>0</v>
      </c>
      <c r="J71" s="175">
        <v>0.42899999999999999</v>
      </c>
      <c r="K71" s="173">
        <v>0</v>
      </c>
      <c r="L71" s="144"/>
      <c r="M71" s="144"/>
      <c r="N71" s="144"/>
      <c r="O71" s="144"/>
      <c r="P71" s="144"/>
    </row>
    <row r="72" spans="2:16" x14ac:dyDescent="0.25">
      <c r="B72" s="144"/>
      <c r="C72" s="144"/>
      <c r="D72" s="144"/>
      <c r="E72" s="144"/>
      <c r="F72" s="144"/>
      <c r="G72" s="144"/>
      <c r="H72" s="160" t="s">
        <v>209</v>
      </c>
      <c r="I72" s="172">
        <v>47</v>
      </c>
      <c r="J72" s="144"/>
      <c r="K72" s="173">
        <v>10.4</v>
      </c>
      <c r="L72" s="144"/>
      <c r="M72" s="144"/>
      <c r="N72" s="144"/>
      <c r="O72" s="144"/>
      <c r="P72" s="144"/>
    </row>
    <row r="73" spans="2:16" x14ac:dyDescent="0.25">
      <c r="B73" s="144"/>
      <c r="C73" s="144"/>
      <c r="D73" s="144"/>
      <c r="E73" s="144"/>
      <c r="F73" s="144"/>
      <c r="G73" s="144"/>
      <c r="H73" s="144" t="s">
        <v>208</v>
      </c>
      <c r="I73" s="173">
        <v>21</v>
      </c>
      <c r="J73" s="175">
        <v>0</v>
      </c>
      <c r="K73" s="173">
        <v>0</v>
      </c>
      <c r="L73" s="144"/>
      <c r="M73" s="144"/>
      <c r="N73" s="144"/>
      <c r="O73" s="144"/>
      <c r="P73" s="144"/>
    </row>
    <row r="74" spans="2:16" x14ac:dyDescent="0.25">
      <c r="B74" s="144"/>
      <c r="C74" s="144"/>
      <c r="D74" s="144"/>
      <c r="E74" s="144"/>
      <c r="F74" s="144"/>
      <c r="G74" s="144"/>
      <c r="H74" s="144" t="s">
        <v>207</v>
      </c>
      <c r="I74" s="173">
        <v>21</v>
      </c>
      <c r="J74" s="175">
        <v>0.4</v>
      </c>
      <c r="K74" s="173">
        <v>8.4</v>
      </c>
      <c r="L74" s="144"/>
      <c r="M74" s="144"/>
      <c r="N74" s="144"/>
      <c r="O74" s="144"/>
      <c r="P74" s="144"/>
    </row>
    <row r="75" spans="2:16" x14ac:dyDescent="0.25">
      <c r="B75" s="144"/>
      <c r="C75" s="144"/>
      <c r="D75" s="144"/>
      <c r="E75" s="144"/>
      <c r="F75" s="144"/>
      <c r="G75" s="144"/>
      <c r="H75" s="144" t="s">
        <v>206</v>
      </c>
      <c r="I75" s="173">
        <v>5</v>
      </c>
      <c r="J75" s="175">
        <v>0.4</v>
      </c>
      <c r="K75" s="173">
        <v>2</v>
      </c>
      <c r="L75" s="144"/>
      <c r="M75" s="144"/>
      <c r="N75" s="144"/>
      <c r="O75" s="144"/>
      <c r="P75" s="144"/>
    </row>
    <row r="76" spans="2:16" x14ac:dyDescent="0.25">
      <c r="B76" s="144"/>
      <c r="C76" s="144"/>
      <c r="D76" s="144"/>
      <c r="E76" s="144"/>
      <c r="F76" s="144"/>
      <c r="G76" s="144"/>
      <c r="H76" s="144" t="s">
        <v>205</v>
      </c>
      <c r="I76" s="173">
        <v>0</v>
      </c>
      <c r="J76" s="175">
        <v>0.4</v>
      </c>
      <c r="K76" s="173">
        <v>0</v>
      </c>
      <c r="L76" s="144"/>
      <c r="M76" s="144"/>
      <c r="N76" s="144"/>
      <c r="O76" s="144"/>
      <c r="P76" s="144"/>
    </row>
    <row r="77" spans="2:16" x14ac:dyDescent="0.25">
      <c r="B77" s="144"/>
      <c r="C77" s="144"/>
      <c r="D77" s="144"/>
      <c r="E77" s="144"/>
      <c r="F77" s="144"/>
      <c r="G77" s="144"/>
      <c r="H77" s="144" t="s">
        <v>204</v>
      </c>
      <c r="I77" s="173">
        <v>0</v>
      </c>
      <c r="J77" s="175">
        <v>0.4</v>
      </c>
      <c r="K77" s="173">
        <v>0</v>
      </c>
      <c r="L77" s="144"/>
      <c r="M77" s="144"/>
      <c r="N77" s="144"/>
      <c r="O77" s="144"/>
      <c r="P77" s="144"/>
    </row>
    <row r="78" spans="2:16" x14ac:dyDescent="0.25">
      <c r="B78" s="144"/>
      <c r="C78" s="144"/>
      <c r="D78" s="144"/>
      <c r="E78" s="144"/>
      <c r="F78" s="144"/>
      <c r="G78" s="144"/>
      <c r="H78" s="144" t="s">
        <v>203</v>
      </c>
      <c r="I78" s="173">
        <v>0</v>
      </c>
      <c r="J78" s="175">
        <v>0.42899999999999999</v>
      </c>
      <c r="K78" s="173">
        <v>0</v>
      </c>
      <c r="L78" s="144"/>
      <c r="M78" s="144"/>
      <c r="N78" s="144"/>
      <c r="O78" s="144"/>
      <c r="P78" s="144"/>
    </row>
    <row r="79" spans="2:16" x14ac:dyDescent="0.25">
      <c r="B79" s="144"/>
      <c r="C79" s="144"/>
      <c r="D79" s="144"/>
      <c r="E79" s="144"/>
      <c r="F79" s="144"/>
      <c r="G79" s="144"/>
      <c r="H79" s="160" t="s">
        <v>119</v>
      </c>
      <c r="I79" s="160">
        <v>307</v>
      </c>
      <c r="J79" s="160"/>
      <c r="K79" s="172">
        <v>67.600000000000009</v>
      </c>
      <c r="L79" s="144"/>
      <c r="M79" s="144"/>
      <c r="N79" s="144"/>
      <c r="O79" s="144"/>
      <c r="P79" s="144"/>
    </row>
  </sheetData>
  <mergeCells count="2">
    <mergeCell ref="C1:D1"/>
    <mergeCell ref="E1:F1"/>
  </mergeCells>
  <phoneticPr fontId="2" type="noConversion"/>
  <printOptions horizontalCentered="1"/>
  <pageMargins left="0.2" right="0.2" top="0.75" bottom="0.75" header="0.3" footer="0.3"/>
  <pageSetup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Full_Buildout</vt:lpstr>
      <vt:lpstr>Summary</vt:lpstr>
      <vt:lpstr>Scenarios</vt:lpstr>
      <vt:lpstr>Full_Buildout!Print_Area</vt:lpstr>
      <vt:lpstr>Scenarios!Print_Area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Ryan, Christopher</dc:creator>
  <cp:lastModifiedBy>Ryan, Christopher</cp:lastModifiedBy>
  <cp:lastPrinted>2025-08-11T11:45:59Z</cp:lastPrinted>
  <dcterms:created xsi:type="dcterms:W3CDTF">2025-03-12T14:01:16Z</dcterms:created>
  <dcterms:modified xsi:type="dcterms:W3CDTF">2025-09-04T14:35:02Z</dcterms:modified>
</cp:coreProperties>
</file>